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RCELONA\"/>
    </mc:Choice>
  </mc:AlternateContent>
  <workbookProtection workbookAlgorithmName="SHA-512" workbookHashValue="w7r+kDApZ2k25oAWOkb2py7pb4CwLram43F2NKAyu7pFyQSTk0kPBlQ7H/O7ue/ZQSSXi+D44F3CWpjeYfDxmg==" workbookSaltValue="jcf9GCp0sFWLZvzLVNcj0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8" i="2" s="1"/>
  <c r="N15" i="2"/>
  <c r="N12" i="2"/>
  <c r="N11" i="2"/>
  <c r="N10" i="2"/>
  <c r="N13" i="2" s="1"/>
  <c r="N9" i="2"/>
  <c r="M17" i="2"/>
  <c r="M16" i="2"/>
  <c r="M15" i="2"/>
  <c r="M18" i="2" s="1"/>
  <c r="M12" i="2"/>
  <c r="M11" i="2"/>
  <c r="M10" i="2"/>
  <c r="M9" i="2"/>
  <c r="M13" i="2" s="1"/>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G11" i="13" s="1"/>
  <c r="BB9" i="13"/>
  <c r="BA9" i="13"/>
  <c r="AY9" i="13"/>
  <c r="BC12" i="13"/>
  <c r="BC11" i="13"/>
  <c r="BC10" i="13"/>
  <c r="BC13" i="13" s="1"/>
  <c r="BB10" i="13"/>
  <c r="BA10" i="13"/>
  <c r="AZ10" i="13"/>
  <c r="AY10" i="13"/>
  <c r="BC9" i="13"/>
  <c r="BC17" i="13"/>
  <c r="BC18" i="13" s="1"/>
  <c r="BB17" i="13"/>
  <c r="BB18" i="13" s="1"/>
  <c r="BA17" i="13"/>
  <c r="BD17" i="13" s="1"/>
  <c r="AZ17" i="13"/>
  <c r="AY17" i="13"/>
  <c r="BC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S19" i="8" s="1"/>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J19" i="8" s="1"/>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C17" i="6" s="1"/>
  <c r="G15" i="2"/>
  <c r="G16" i="2"/>
  <c r="AO16" i="11" s="1"/>
  <c r="G17" i="2"/>
  <c r="E15" i="2"/>
  <c r="E16" i="2"/>
  <c r="E17" i="2"/>
  <c r="B17" i="6" s="1"/>
  <c r="C16" i="2"/>
  <c r="D16" i="2" s="1"/>
  <c r="C17" i="2"/>
  <c r="D17" i="2" s="1"/>
  <c r="I9" i="2"/>
  <c r="I10" i="2"/>
  <c r="I11" i="2"/>
  <c r="I12" i="2"/>
  <c r="L12" i="14" s="1"/>
  <c r="C10" i="2"/>
  <c r="D10" i="2" s="1"/>
  <c r="C11" i="2"/>
  <c r="D11" i="2" s="1"/>
  <c r="C12" i="2"/>
  <c r="D12" i="2" s="1"/>
  <c r="G9" i="2"/>
  <c r="G10" i="2"/>
  <c r="G11" i="2"/>
  <c r="C11" i="6" s="1"/>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BG16" i="8" s="1"/>
  <c r="AY16" i="8"/>
  <c r="BB15" i="8"/>
  <c r="BA15" i="8"/>
  <c r="BG15" i="8" s="1"/>
  <c r="AZ15" i="8"/>
  <c r="AY15" i="8"/>
  <c r="BB12" i="8"/>
  <c r="BE12" i="8" s="1"/>
  <c r="BA12" i="8"/>
  <c r="AZ12" i="8"/>
  <c r="BG12" i="8" s="1"/>
  <c r="AY12" i="8"/>
  <c r="BB11" i="8"/>
  <c r="BA11" i="8"/>
  <c r="BA13" i="8" s="1"/>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D11" i="12" s="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D12" i="13"/>
  <c r="AZ13" i="13"/>
  <c r="AM19" i="8"/>
  <c r="AP13" i="17"/>
  <c r="BD17" i="8"/>
  <c r="BF17" i="8"/>
  <c r="AB19" i="19"/>
  <c r="BF9" i="13"/>
  <c r="E18" i="12"/>
  <c r="ER19" i="8"/>
  <c r="EL19" i="8"/>
  <c r="AC11" i="11"/>
  <c r="EQ19" i="8"/>
  <c r="AP12" i="11"/>
  <c r="Y11" i="11"/>
  <c r="AT18" i="17"/>
  <c r="AL10" i="11"/>
  <c r="N10" i="11"/>
  <c r="N9" i="11"/>
  <c r="T10" i="21"/>
  <c r="F10" i="10"/>
  <c r="N11" i="11"/>
  <c r="ES19" i="8"/>
  <c r="C18" i="7"/>
  <c r="S19" i="13"/>
  <c r="AG19" i="19"/>
  <c r="F9" i="11"/>
  <c r="CI19" i="8"/>
  <c r="AE19" i="8"/>
  <c r="F17" i="16"/>
  <c r="BL17" i="16" s="1"/>
  <c r="EP19" i="8"/>
  <c r="ER19" i="13"/>
  <c r="AL13" i="16"/>
  <c r="S13" i="16"/>
  <c r="H18" i="16"/>
  <c r="P13" i="16"/>
  <c r="AN13" i="20"/>
  <c r="F15" i="17"/>
  <c r="Z13" i="17"/>
  <c r="F17" i="17"/>
  <c r="AQ17" i="17" s="1"/>
  <c r="B12" i="6"/>
  <c r="AC10" i="11"/>
  <c r="H13" i="12"/>
  <c r="T19" i="8"/>
  <c r="T13" i="12"/>
  <c r="AY18" i="8"/>
  <c r="BF15" i="8"/>
  <c r="AZ18" i="13"/>
  <c r="BD12" i="8"/>
  <c r="H12" i="7" s="1"/>
  <c r="AV18" i="17"/>
  <c r="J18" i="17"/>
  <c r="T13" i="16"/>
  <c r="AP13" i="16"/>
  <c r="F11" i="11"/>
  <c r="AQ11" i="11" s="1"/>
  <c r="T18" i="17"/>
  <c r="BF15" i="13"/>
  <c r="BG15" i="13"/>
  <c r="BA18" i="13"/>
  <c r="BE15"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Y19" i="8" l="1"/>
  <c r="F15" i="11"/>
  <c r="BD15" i="8"/>
  <c r="BE15" i="8"/>
  <c r="AW18" i="21"/>
  <c r="C19" i="3"/>
  <c r="BF11" i="8"/>
  <c r="BD11" i="8"/>
  <c r="H11" i="7" s="1"/>
  <c r="BE11" i="8"/>
  <c r="I11" i="12" s="1"/>
  <c r="BG10" i="8"/>
  <c r="AB19" i="8"/>
  <c r="Z19" i="8"/>
  <c r="BF9" i="8"/>
  <c r="J9" i="7" s="1"/>
  <c r="BG9" i="8"/>
  <c r="K9" i="7" s="1"/>
  <c r="BE9" i="8"/>
  <c r="I9" i="7" s="1"/>
  <c r="F9" i="2"/>
  <c r="B9" i="6"/>
  <c r="E11" i="6"/>
  <c r="AO9" i="11"/>
  <c r="AL11" i="11"/>
  <c r="H15" i="7"/>
  <c r="H12" i="2"/>
  <c r="C10" i="6"/>
  <c r="L11" i="14"/>
  <c r="E18" i="2"/>
  <c r="F18" i="2" s="1"/>
  <c r="AO17" i="11"/>
  <c r="AL15" i="11"/>
  <c r="L16" i="14"/>
  <c r="BE12" i="13"/>
  <c r="F16" i="17"/>
  <c r="BG16" i="13"/>
  <c r="BD16" i="13"/>
  <c r="BE16" i="13"/>
  <c r="H15" i="2"/>
  <c r="E15" i="6"/>
  <c r="K15" i="12" s="1"/>
  <c r="B16" i="6"/>
  <c r="D12" i="12"/>
  <c r="F12" i="11"/>
  <c r="AQ12" i="11" s="1"/>
  <c r="E9" i="6"/>
  <c r="AY13" i="8"/>
  <c r="AO12" i="11"/>
  <c r="AY13" i="13"/>
  <c r="BE9" i="13"/>
  <c r="BB13" i="13"/>
  <c r="S16" i="14"/>
  <c r="V16" i="14" s="1"/>
  <c r="R8" i="9"/>
  <c r="AP16" i="20"/>
  <c r="V15" i="11"/>
  <c r="BH15" i="11"/>
  <c r="Q17" i="20"/>
  <c r="BF17" i="11"/>
  <c r="S17" i="16"/>
  <c r="X11" i="17"/>
  <c r="S9" i="17"/>
  <c r="BI10" i="11"/>
  <c r="S9" i="14"/>
  <c r="V9" i="14" s="1"/>
  <c r="BJ11" i="11"/>
  <c r="BI17" i="11"/>
  <c r="BL11" i="11"/>
  <c r="BM15" i="11"/>
  <c r="T15" i="16"/>
  <c r="BW9" i="20"/>
  <c r="BV16" i="16"/>
  <c r="BV15" i="16"/>
  <c r="BU9" i="17"/>
  <c r="BU17" i="17"/>
  <c r="BV9" i="16"/>
  <c r="AZ12" i="11"/>
  <c r="T15" i="11"/>
  <c r="S15" i="16"/>
  <c r="BF12" i="11"/>
  <c r="BL10" i="11"/>
  <c r="Q15" i="17"/>
  <c r="BF15" i="11"/>
  <c r="AQ12" i="21"/>
  <c r="BL16" i="11"/>
  <c r="L15" i="2"/>
  <c r="V9" i="16"/>
  <c r="AA10" i="16"/>
  <c r="X13" i="20"/>
  <c r="X17" i="20"/>
  <c r="AA12" i="21"/>
  <c r="V17" i="16"/>
  <c r="S15" i="17"/>
  <c r="L11" i="2"/>
  <c r="X9" i="16"/>
  <c r="X19" i="16" s="1"/>
  <c r="X15" i="16"/>
  <c r="X18" i="16" s="1"/>
  <c r="S17" i="14"/>
  <c r="V17" i="14" s="1"/>
  <c r="V18" i="14" s="1"/>
  <c r="R17" i="14"/>
  <c r="R18" i="14" s="1"/>
  <c r="T12" i="11"/>
  <c r="T17" i="11"/>
  <c r="X10" i="17"/>
  <c r="AA11" i="16"/>
  <c r="V10" i="16"/>
  <c r="AZ11" i="11"/>
  <c r="X10" i="21"/>
  <c r="S16" i="17"/>
  <c r="AU18" i="21"/>
  <c r="L19" i="21"/>
  <c r="BD18" i="19"/>
  <c r="AC19" i="13"/>
  <c r="BA13" i="13"/>
  <c r="BD13" i="13" s="1"/>
  <c r="BE11" i="13"/>
  <c r="BG10" i="13"/>
  <c r="BE17" i="13"/>
  <c r="F17" i="11"/>
  <c r="AQ17" i="11" s="1"/>
  <c r="AQ15" i="11"/>
  <c r="K12" i="7"/>
  <c r="AM15" i="11"/>
  <c r="E12" i="6"/>
  <c r="K12" i="12" s="1"/>
  <c r="C12" i="6"/>
  <c r="I12" i="12" s="1"/>
  <c r="AL12" i="11"/>
  <c r="C18" i="2"/>
  <c r="D18" i="2" s="1"/>
  <c r="G18" i="12"/>
  <c r="E16" i="6"/>
  <c r="K16" i="12" s="1"/>
  <c r="C15" i="6"/>
  <c r="I15" i="12" s="1"/>
  <c r="B15" i="6"/>
  <c r="G15" i="3"/>
  <c r="I12" i="3"/>
  <c r="E12" i="3"/>
  <c r="E10" i="3"/>
  <c r="AM11" i="11"/>
  <c r="L9" i="14"/>
  <c r="AO11" i="11"/>
  <c r="AL17" i="11"/>
  <c r="F15" i="2"/>
  <c r="AL16" i="11"/>
  <c r="AO17" i="17"/>
  <c r="L15" i="14"/>
  <c r="AR13" i="21"/>
  <c r="E13" i="17"/>
  <c r="W13" i="17"/>
  <c r="H9" i="7"/>
  <c r="K15" i="7"/>
  <c r="I18" i="2"/>
  <c r="G18" i="2"/>
  <c r="L17" i="14"/>
  <c r="B11" i="6"/>
  <c r="AL9" i="11"/>
  <c r="AO15" i="17"/>
  <c r="I15" i="7"/>
  <c r="AO15" i="11"/>
  <c r="C16" i="6"/>
  <c r="BI16" i="16"/>
  <c r="H17" i="7"/>
  <c r="AN11" i="11"/>
  <c r="D9" i="6"/>
  <c r="I12" i="7"/>
  <c r="C9" i="6"/>
  <c r="AQ15" i="17"/>
  <c r="AC19" i="17"/>
  <c r="AE13" i="17"/>
  <c r="AN19" i="13"/>
  <c r="X19" i="13"/>
  <c r="BH19" i="13"/>
  <c r="AC19" i="8"/>
  <c r="AC12" i="11"/>
  <c r="AB13" i="21"/>
  <c r="AB21" i="21" s="1"/>
  <c r="C15" i="14"/>
  <c r="K15" i="14" s="1"/>
  <c r="E9" i="12"/>
  <c r="Y10" i="11"/>
  <c r="Y13" i="11" s="1"/>
  <c r="Y12" i="11"/>
  <c r="J15" i="7"/>
  <c r="F17" i="2"/>
  <c r="J15" i="2"/>
  <c r="BF18" i="19"/>
  <c r="AS13" i="21"/>
  <c r="AO18" i="20"/>
  <c r="AL19" i="16"/>
  <c r="AJ13" i="16"/>
  <c r="AJ19" i="16" s="1"/>
  <c r="AM19" i="13"/>
  <c r="W19" i="13"/>
  <c r="U19" i="13"/>
  <c r="Q19" i="13"/>
  <c r="V19" i="13"/>
  <c r="BD11" i="13"/>
  <c r="AN15" i="11"/>
  <c r="D15" i="6"/>
  <c r="J15" i="12" s="1"/>
  <c r="J18" i="2"/>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F15" i="16"/>
  <c r="BL15" i="16" s="1"/>
  <c r="G12" i="12"/>
  <c r="E12" i="12"/>
  <c r="G9" i="12"/>
  <c r="D9" i="12"/>
  <c r="F9" i="12"/>
  <c r="AG13" i="11"/>
  <c r="D13" i="5"/>
  <c r="J17" i="7"/>
  <c r="J11" i="7"/>
  <c r="AN17" i="11"/>
  <c r="I16" i="3"/>
  <c r="E16" i="3"/>
  <c r="BB19" i="19"/>
  <c r="AO13" i="20"/>
  <c r="AR13" i="20"/>
  <c r="AF13" i="21"/>
  <c r="AF19" i="21" s="1"/>
  <c r="P19" i="19"/>
  <c r="V19" i="19"/>
  <c r="AD19" i="19"/>
  <c r="S18" i="16"/>
  <c r="S19" i="16" s="1"/>
  <c r="BC19" i="13"/>
  <c r="BG9" i="13"/>
  <c r="AB19" i="13"/>
  <c r="BK19" i="13"/>
  <c r="AQ19" i="13"/>
  <c r="AA19" i="13"/>
  <c r="BF18" i="13"/>
  <c r="J12" i="7"/>
  <c r="AN12" i="11"/>
  <c r="H17" i="2"/>
  <c r="AI19" i="8"/>
  <c r="W19" i="8"/>
  <c r="BD16" i="8"/>
  <c r="H16" i="7" s="1"/>
  <c r="AX21" i="11"/>
  <c r="E11" i="12"/>
  <c r="AH19" i="8"/>
  <c r="AG19" i="8"/>
  <c r="U19" i="8"/>
  <c r="BG17" i="8"/>
  <c r="K17" i="7" s="1"/>
  <c r="J12" i="2"/>
  <c r="H11" i="2"/>
  <c r="H9" i="2"/>
  <c r="BE17" i="8"/>
  <c r="I17" i="7" s="1"/>
  <c r="N12" i="11"/>
  <c r="AT19" i="8"/>
  <c r="L18" i="11"/>
  <c r="I15" i="10"/>
  <c r="K15" i="10" s="1"/>
  <c r="I9" i="10"/>
  <c r="K9" i="10" s="1"/>
  <c r="AN9" i="11"/>
  <c r="K16" i="7"/>
  <c r="AE19" i="21"/>
  <c r="T13" i="20"/>
  <c r="AP13" i="20"/>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I19" i="8"/>
  <c r="AS19" i="8"/>
  <c r="K13" i="17"/>
  <c r="J13" i="17"/>
  <c r="K18" i="17"/>
  <c r="AF13" i="17"/>
  <c r="AX21" i="17"/>
  <c r="AQ10" i="17"/>
  <c r="H19" i="21"/>
  <c r="F12" i="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BL11" i="16"/>
  <c r="F12" i="12"/>
  <c r="AI13" i="11"/>
  <c r="AI19" i="11" s="1"/>
  <c r="AU13" i="11"/>
  <c r="AP17" i="11"/>
  <c r="AT13" i="11"/>
  <c r="AV18" i="11"/>
  <c r="R13" i="11"/>
  <c r="Z13" i="11"/>
  <c r="AD13" i="11"/>
  <c r="AF18" i="11"/>
  <c r="AF13" i="11"/>
  <c r="I13" i="11"/>
  <c r="I19" i="11" s="1"/>
  <c r="J18" i="11"/>
  <c r="AC15" i="11"/>
  <c r="AS13" i="11"/>
  <c r="AS18" i="11"/>
  <c r="E13" i="11"/>
  <c r="AH18" i="11"/>
  <c r="S13" i="1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H19" i="16"/>
  <c r="AB13" i="16"/>
  <c r="BD13" i="16"/>
  <c r="K19" i="13"/>
  <c r="D13" i="14"/>
  <c r="G13" i="11"/>
  <c r="D13" i="12" s="1"/>
  <c r="C13" i="2"/>
  <c r="G13" i="17"/>
  <c r="BH13" i="16"/>
  <c r="E13" i="7"/>
  <c r="AA13" i="17"/>
  <c r="BG13" i="16"/>
  <c r="G13" i="7"/>
  <c r="K13" i="2"/>
  <c r="T13" i="17"/>
  <c r="BG18" i="16"/>
  <c r="F18" i="12"/>
  <c r="AP18" i="21"/>
  <c r="D18" i="14"/>
  <c r="G18" i="11"/>
  <c r="G21" i="11" s="1"/>
  <c r="W13" i="11"/>
  <c r="F13" i="12" s="1"/>
  <c r="D18" i="3"/>
  <c r="E18" i="3" s="1"/>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S18" i="16"/>
  <c r="AD13" i="16"/>
  <c r="AD19" i="16" s="1"/>
  <c r="Q13" i="16"/>
  <c r="X13" i="16"/>
  <c r="AS18" i="16"/>
  <c r="AZ13" i="16"/>
  <c r="AN19" i="16"/>
  <c r="AW19" i="11"/>
  <c r="AC16" i="11"/>
  <c r="K13" i="11"/>
  <c r="N18"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AJ18" i="11"/>
  <c r="D18" i="5"/>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N19" i="21"/>
  <c r="K19" i="19"/>
  <c r="AO19" i="20" s="1"/>
  <c r="O19" i="19"/>
  <c r="W19" i="19"/>
  <c r="AE19" i="19"/>
  <c r="BH19" i="19"/>
  <c r="BC21" i="20"/>
  <c r="AC13" i="21"/>
  <c r="AC21" i="21" s="1"/>
  <c r="AS13" i="20"/>
  <c r="I18" i="20"/>
  <c r="I19" i="20" s="1"/>
  <c r="BC19" i="21"/>
  <c r="AZ19" i="19"/>
  <c r="AD13" i="21"/>
  <c r="AD19" i="21" s="1"/>
  <c r="Z13" i="21"/>
  <c r="AK21" i="20"/>
  <c r="AJ13" i="21"/>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AQ16" i="17"/>
  <c r="AY21" i="21"/>
  <c r="AG18" i="11"/>
  <c r="AK18" i="11"/>
  <c r="E13" i="14"/>
  <c r="O19" i="16"/>
  <c r="I17" i="12"/>
  <c r="AS16" i="20"/>
  <c r="AQ19" i="20"/>
  <c r="D11" i="6"/>
  <c r="J11" i="12" s="1"/>
  <c r="E11" i="3"/>
  <c r="R15" i="14"/>
  <c r="AM17" i="11"/>
  <c r="BG17" i="11"/>
  <c r="P19" i="8"/>
  <c r="AO11" i="17"/>
  <c r="AQ18" i="21"/>
  <c r="BG11" i="11"/>
  <c r="BJ9" i="11"/>
  <c r="BA19" i="19"/>
  <c r="BG19" i="19" s="1"/>
  <c r="BD13" i="19"/>
  <c r="BF13" i="19"/>
  <c r="AD19" i="8"/>
  <c r="V19" i="8"/>
  <c r="U16" i="21"/>
  <c r="U18" i="21" s="1"/>
  <c r="V16" i="20"/>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U17" i="11"/>
  <c r="O10" i="11"/>
  <c r="BR20" i="16"/>
  <c r="AU20" i="17"/>
  <c r="BP20" i="16"/>
  <c r="AX20" i="21"/>
  <c r="I11" i="7" l="1"/>
  <c r="D19" i="5"/>
  <c r="I10" i="12"/>
  <c r="B19" i="7"/>
  <c r="I9" i="12"/>
  <c r="J9" i="12"/>
  <c r="K9" i="12"/>
  <c r="D19" i="12"/>
  <c r="B18" i="6"/>
  <c r="AL18" i="11"/>
  <c r="H13" i="2"/>
  <c r="BE13" i="13"/>
  <c r="BG13" i="13"/>
  <c r="F18" i="20"/>
  <c r="F21" i="20" s="1"/>
  <c r="C18" i="6"/>
  <c r="BB19" i="13"/>
  <c r="BF13" i="13"/>
  <c r="AM13" i="11"/>
  <c r="Q18" i="20"/>
  <c r="Q19" i="20" s="1"/>
  <c r="BF11" i="11"/>
  <c r="BL9" i="11"/>
  <c r="BG10" i="11"/>
  <c r="P17" i="17"/>
  <c r="BK12" i="11"/>
  <c r="BK9" i="11"/>
  <c r="AO12" i="17"/>
  <c r="X9" i="17"/>
  <c r="BM12" i="11"/>
  <c r="V9" i="11"/>
  <c r="BJ15" i="11"/>
  <c r="AP15" i="20"/>
  <c r="R17" i="20"/>
  <c r="AZ9" i="11"/>
  <c r="AZ15" i="11"/>
  <c r="AZ18" i="11" s="1"/>
  <c r="BV17" i="16"/>
  <c r="BV18" i="16" s="1"/>
  <c r="BV12" i="16"/>
  <c r="BV11" i="16"/>
  <c r="U10" i="17"/>
  <c r="S11" i="17"/>
  <c r="AA16" i="16"/>
  <c r="X15" i="17"/>
  <c r="T16" i="11"/>
  <c r="Q17" i="17"/>
  <c r="Q18" i="17" s="1"/>
  <c r="Q19" i="17" s="1"/>
  <c r="BI9" i="11"/>
  <c r="BJ10" i="11"/>
  <c r="BH11" i="11"/>
  <c r="S17" i="17"/>
  <c r="BH12" i="16"/>
  <c r="X12" i="17"/>
  <c r="L12" i="2"/>
  <c r="T9" i="11"/>
  <c r="BH11" i="16"/>
  <c r="BH17" i="16"/>
  <c r="BM16" i="11"/>
  <c r="BL17" i="11"/>
  <c r="BF10" i="11"/>
  <c r="Q10" i="11" s="1"/>
  <c r="R12" i="14"/>
  <c r="R13" i="14" s="1"/>
  <c r="V12" i="21"/>
  <c r="BK11" i="11"/>
  <c r="AP10" i="21"/>
  <c r="BH9" i="11"/>
  <c r="AO16" i="17"/>
  <c r="BJ12" i="11"/>
  <c r="BG15" i="11"/>
  <c r="BK17" i="11"/>
  <c r="AP17" i="20"/>
  <c r="BU11" i="17"/>
  <c r="BU10" i="17"/>
  <c r="BW12" i="20"/>
  <c r="BW11" i="20"/>
  <c r="BW10" i="20"/>
  <c r="BU12" i="17"/>
  <c r="AA15" i="16"/>
  <c r="S11" i="14"/>
  <c r="V11" i="14" s="1"/>
  <c r="BG12" i="11"/>
  <c r="P12" i="11" s="1"/>
  <c r="BH10" i="11"/>
  <c r="AQ10" i="21"/>
  <c r="BK16" i="11"/>
  <c r="BG16" i="11"/>
  <c r="BM9" i="11"/>
  <c r="BK10" i="11"/>
  <c r="U9" i="17"/>
  <c r="S12" i="14"/>
  <c r="R16" i="14"/>
  <c r="X12" i="21"/>
  <c r="X19" i="21" s="1"/>
  <c r="BH9" i="16"/>
  <c r="BJ17" i="11"/>
  <c r="BH15" i="16"/>
  <c r="V11" i="16"/>
  <c r="BF16" i="11"/>
  <c r="BL12" i="11"/>
  <c r="BK15" i="11"/>
  <c r="BK18" i="11" s="1"/>
  <c r="V11" i="11"/>
  <c r="Q10" i="21"/>
  <c r="Q13" i="21" s="1"/>
  <c r="Q19" i="21" s="1"/>
  <c r="BI15" i="11"/>
  <c r="R10" i="21"/>
  <c r="R13" i="21" s="1"/>
  <c r="R19" i="21" s="1"/>
  <c r="BG9" i="11"/>
  <c r="BH17" i="11"/>
  <c r="T17" i="16"/>
  <c r="T18" i="16" s="1"/>
  <c r="T19" i="16" s="1"/>
  <c r="BU15" i="17"/>
  <c r="BW17" i="20"/>
  <c r="BW16" i="20"/>
  <c r="BW15" i="20"/>
  <c r="BV10" i="16"/>
  <c r="BV13" i="16" s="1"/>
  <c r="BU16" i="17"/>
  <c r="AZ16" i="11"/>
  <c r="R10" i="14"/>
  <c r="X17" i="17"/>
  <c r="P15" i="17"/>
  <c r="P18" i="17" s="1"/>
  <c r="P19" i="17" s="1"/>
  <c r="BL15" i="11"/>
  <c r="Q15" i="11" s="1"/>
  <c r="BH10" i="16"/>
  <c r="BM17" i="11"/>
  <c r="BH16" i="11"/>
  <c r="BJ16" i="11"/>
  <c r="L10" i="2"/>
  <c r="L16" i="2"/>
  <c r="S15" i="14"/>
  <c r="V15" i="14" s="1"/>
  <c r="AA17" i="16"/>
  <c r="T17" i="20"/>
  <c r="U10" i="21"/>
  <c r="X16" i="20"/>
  <c r="S10" i="17"/>
  <c r="L9" i="2"/>
  <c r="L17" i="2"/>
  <c r="V15" i="20"/>
  <c r="S10" i="14"/>
  <c r="V10" i="14" s="1"/>
  <c r="R11" i="14"/>
  <c r="AM9" i="11"/>
  <c r="T11" i="11"/>
  <c r="X16" i="17"/>
  <c r="AA9" i="16"/>
  <c r="V15" i="16"/>
  <c r="V12" i="16"/>
  <c r="AZ17" i="11"/>
  <c r="X12" i="16"/>
  <c r="AM16" i="11"/>
  <c r="AM12" i="11"/>
  <c r="AO9" i="17"/>
  <c r="AQ13" i="21"/>
  <c r="X16" i="16"/>
  <c r="BH18" i="16"/>
  <c r="U12" i="17"/>
  <c r="AZ10" i="11"/>
  <c r="BH16" i="16"/>
  <c r="BI16" i="11"/>
  <c r="BI18" i="11" s="1"/>
  <c r="BI11" i="11"/>
  <c r="T10" i="11"/>
  <c r="AM10" i="11"/>
  <c r="BI12" i="11"/>
  <c r="V17" i="20"/>
  <c r="U15" i="17"/>
  <c r="U18" i="17" s="1"/>
  <c r="V10" i="21"/>
  <c r="V13" i="21" s="1"/>
  <c r="V19" i="21" s="1"/>
  <c r="Q18" i="11"/>
  <c r="T13" i="11"/>
  <c r="X13" i="17"/>
  <c r="AT12" i="21"/>
  <c r="AL19" i="21"/>
  <c r="AB19" i="21"/>
  <c r="J21" i="20"/>
  <c r="J21" i="17"/>
  <c r="AM18" i="11"/>
  <c r="BE21" i="21"/>
  <c r="K19" i="21"/>
  <c r="AC13" i="11"/>
  <c r="B13" i="6"/>
  <c r="K19" i="2"/>
  <c r="D21" i="12"/>
  <c r="F13" i="2"/>
  <c r="BI18" i="16"/>
  <c r="AO18" i="17"/>
  <c r="H18" i="2"/>
  <c r="AO18" i="11"/>
  <c r="E18" i="6"/>
  <c r="AS19" i="21"/>
  <c r="E19" i="17"/>
  <c r="AG21" i="17"/>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AH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X20" i="21"/>
  <c r="AE20" i="11"/>
  <c r="AB20" i="11"/>
  <c r="BH13" i="11" l="1"/>
  <c r="BW21" i="20"/>
  <c r="BU21" i="17"/>
  <c r="Q12" i="11"/>
  <c r="Q16" i="11"/>
  <c r="P16" i="11"/>
  <c r="U19" i="17"/>
  <c r="U13" i="17"/>
  <c r="R18" i="20"/>
  <c r="R19" i="20" s="1"/>
  <c r="BJ18" i="11"/>
  <c r="BL18" i="11"/>
  <c r="V18" i="20"/>
  <c r="V19" i="20"/>
  <c r="BH18" i="11"/>
  <c r="BH19" i="11" s="1"/>
  <c r="V12" i="14"/>
  <c r="V13" i="14" s="1"/>
  <c r="V19" i="14" s="1"/>
  <c r="S13" i="14"/>
  <c r="S19" i="14" s="1"/>
  <c r="P17" i="11"/>
  <c r="AZ13" i="11"/>
  <c r="AZ19" i="11"/>
  <c r="BK13" i="11"/>
  <c r="BK19" i="11" s="1"/>
  <c r="P9" i="11"/>
  <c r="Q9" i="11"/>
  <c r="P15" i="11"/>
  <c r="BF18" i="11"/>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X19" i="14"/>
  <c r="M19" i="14"/>
  <c r="Z19" i="14"/>
  <c r="W19" i="14"/>
  <c r="AD19" i="14"/>
  <c r="V18" i="11"/>
  <c r="AA19" i="14"/>
  <c r="H19" i="14"/>
  <c r="BM20" i="16"/>
  <c r="O12" i="11"/>
  <c r="I20" i="12"/>
  <c r="BD19" i="8" l="1"/>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<sst xmlns="http://schemas.openxmlformats.org/spreadsheetml/2006/main" count="2088" uniqueCount="917">
  <si>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</si>
  <si>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</si>
  <si>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</si>
  <si>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</si>
  <si>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</si>
  <si>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</si>
  <si>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</si>
  <si>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</si>
  <si>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</si>
  <si>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</si>
  <si>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</si>
  <si>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</si>
  <si>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</si>
  <si>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</si>
  <si>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</si>
  <si>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</si>
  <si>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</si>
  <si>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</si>
  <si>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</si>
  <si>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</si>
  <si>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</si>
  <si>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</si>
  <si>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</si>
  <si>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</si>
  <si>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</si>
  <si>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</si>
  <si>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</si>
  <si>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</si>
  <si>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</si>
  <si>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</si>
  <si>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</si>
  <si>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</si>
  <si>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</si>
  <si>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</si>
  <si>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</si>
  <si>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</si>
  <si>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</si>
  <si>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</si>
  <si>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</si>
  <si>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</si>
  <si>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</si>
  <si>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</si>
  <si>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</si>
  <si>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</si>
  <si>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</si>
  <si>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</si>
  <si>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</si>
  <si>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</si>
  <si>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</si>
  <si>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</si>
  <si>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</si>
  <si>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</si>
  <si>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</si>
  <si>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</si>
  <si>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</si>
  <si>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</si>
  <si>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</si>
  <si>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</si>
  <si>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</si>
  <si>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</si>
  <si>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</si>
  <si>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</si>
  <si>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</si>
  <si>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</si>
  <si>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</si>
  <si>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</si>
  <si>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</si>
  <si>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</si>
  <si>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</si>
  <si>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</si>
  <si>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</si>
  <si>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</si>
  <si>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</si>
  <si>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</si>
  <si>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</si>
  <si>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</si>
  <si>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</si>
  <si>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</si>
  <si>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</si>
  <si>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</si>
  <si>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</si>
  <si>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</si>
  <si>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</si>
  <si>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</si>
  <si>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</si>
  <si>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</si>
  <si>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</si>
  <si>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</si>
  <si>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</si>
  <si>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</si>
  <si>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</si>
  <si>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</si>
  <si>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</si>
  <si>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</si>
  <si>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</si>
  <si>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</si>
  <si>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</si>
  <si>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</si>
  <si>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</si>
  <si>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</si>
  <si>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</si>
  <si>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</si>
  <si>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</si>
  <si>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</si>
  <si>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</si>
  <si>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</si>
  <si>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</si>
  <si>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</si>
  <si>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</si>
  <si>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</si>
  <si>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</si>
  <si>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</si>
  <si>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</si>
  <si>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</si>
  <si>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</si>
  <si>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</si>
  <si>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</si>
  <si>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</si>
  <si>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</si>
  <si>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</si>
  <si>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</si>
  <si>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</si>
  <si>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</si>
  <si>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</si>
  <si>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</si>
  <si>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</si>
  <si>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</si>
  <si>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</si>
  <si>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</si>
  <si>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</si>
  <si>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</si>
  <si>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</si>
  <si>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</si>
  <si>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</si>
  <si>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</si>
  <si>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</si>
  <si>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</si>
  <si>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</si>
  <si>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</si>
  <si>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</si>
  <si>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</si>
  <si>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</si>
  <si>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</si>
  <si>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</si>
  <si>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</si>
  <si>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</si>
  <si>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</si>
  <si>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</si>
  <si>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</si>
  <si>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</si>
  <si>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</si>
  <si>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</si>
  <si>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</si>
  <si>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</si>
  <si>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</si>
  <si>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</si>
  <si>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</si>
  <si>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</si>
  <si>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</si>
  <si>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</si>
  <si>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</si>
  <si>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</si>
  <si>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</si>
  <si>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</si>
  <si>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</si>
  <si>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</si>
  <si>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</si>
  <si>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</si>
  <si>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</si>
  <si>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</si>
  <si>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</si>
  <si>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</si>
  <si>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</si>
  <si>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</si>
  <si>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</si>
  <si>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</si>
  <si>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</si>
  <si>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</si>
  <si>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</si>
  <si>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</si>
  <si>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</si>
  <si>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</si>
  <si>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</si>
  <si>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</si>
  <si>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</si>
  <si>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</si>
  <si>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</si>
  <si>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</si>
  <si>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</si>
  <si>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</si>
  <si>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</si>
  <si>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</si>
  <si>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</si>
  <si>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</si>
  <si>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</si>
  <si>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</si>
  <si>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</si>
  <si>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</si>
  <si>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</si>
  <si>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</si>
  <si>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</si>
  <si>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</si>
  <si>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</si>
  <si>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</si>
  <si>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</si>
  <si>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</si>
  <si>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</si>
  <si>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</si>
  <si>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</si>
  <si>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</si>
  <si>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</si>
  <si>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</si>
  <si>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</si>
  <si>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</si>
  <si>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</si>
  <si>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</si>
  <si>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</si>
  <si>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</si>
  <si>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</si>
  <si>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</si>
  <si>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</si>
  <si>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</si>
  <si>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</si>
  <si>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</si>
  <si>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</si>
  <si>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</si>
  <si>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</si>
  <si>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</si>
  <si>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</si>
  <si>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</si>
  <si>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</si>
  <si>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</si>
  <si>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</si>
  <si>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</si>
  <si>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</si>
  <si>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</si>
  <si>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</si>
  <si>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</si>
  <si>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</si>
  <si>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</si>
  <si>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</si>
  <si>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</si>
  <si>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</si>
  <si>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</si>
  <si>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</si>
  <si>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</si>
  <si>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</si>
  <si>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</si>
  <si>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</si>
  <si>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</si>
  <si>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</si>
  <si>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</si>
  <si>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</si>
  <si>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</si>
  <si>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</si>
  <si>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</si>
  <si>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</si>
  <si>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</si>
  <si>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</si>
  <si>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</si>
  <si>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</si>
  <si>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</si>
  <si>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</si>
  <si>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</si>
  <si>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</si>
  <si>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</si>
  <si>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</si>
  <si>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</si>
  <si>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</si>
  <si>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</si>
  <si>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</si>
  <si>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</si>
  <si>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</si>
  <si>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</si>
  <si>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</si>
  <si>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</si>
  <si>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</si>
  <si>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</si>
  <si>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</si>
  <si>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</si>
  <si>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</si>
  <si>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</si>
  <si>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</si>
  <si>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</si>
  <si>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</si>
  <si>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</si>
  <si>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</si>
  <si>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</si>
  <si>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</si>
  <si>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</si>
  <si>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</si>
  <si>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</si>
  <si>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</si>
  <si>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</si>
  <si>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</si>
  <si>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</si>
  <si>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</si>
  <si>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</si>
  <si>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</si>
  <si>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</si>
  <si>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</si>
  <si>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</si>
  <si>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</si>
  <si>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</si>
  <si>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</si>
  <si>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</si>
  <si>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</si>
  <si>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</si>
  <si>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</si>
  <si>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</si>
  <si>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</si>
  <si>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</si>
  <si>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</si>
  <si>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</si>
  <si>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</si>
  <si>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</si>
  <si>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</si>
  <si>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</si>
  <si>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</si>
  <si>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</si>
  <si>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</si>
  <si>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</si>
  <si>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</si>
  <si>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</si>
  <si>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</si>
  <si>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</si>
  <si>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</si>
  <si>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</si>
  <si>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</si>
  <si>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</si>
  <si>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</si>
  <si>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</si>
  <si>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</si>
  <si>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</si>
  <si>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</si>
  <si>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</si>
  <si>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</si>
  <si>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</si>
  <si>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</si>
  <si>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</si>
  <si>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</si>
  <si>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</si>
  <si>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</si>
  <si>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</si>
  <si>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</si>
  <si>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</si>
  <si>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</si>
  <si>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</si>
  <si>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</si>
  <si>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</si>
  <si>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</si>
  <si>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</si>
  <si>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</si>
  <si>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</si>
  <si>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</si>
  <si>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</si>
  <si>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</si>
  <si>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</si>
  <si>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</si>
  <si>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</si>
  <si>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</si>
  <si>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</si>
  <si>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</si>
  <si>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</si>
  <si>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</si>
  <si>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</si>
  <si>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</si>
  <si>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</si>
  <si>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</si>
  <si>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</si>
  <si>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</si>
  <si>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</si>
  <si>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</si>
  <si>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</si>
  <si>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</si>
  <si>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</si>
  <si>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</si>
  <si>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</si>
  <si>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</si>
  <si>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</si>
  <si>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</si>
  <si>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</si>
  <si>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</si>
  <si>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</si>
  <si>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</si>
  <si>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</si>
  <si>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</si>
  <si>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</si>
  <si>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</si>
  <si>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</si>
  <si>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</si>
  <si>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</si>
  <si>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</si>
  <si>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</si>
  <si>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</si>
  <si>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</si>
  <si>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</si>
  <si>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</si>
  <si>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</si>
  <si>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</si>
  <si>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</si>
  <si>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</si>
  <si>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</si>
  <si>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</si>
  <si>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</si>
  <si>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</si>
  <si>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</si>
  <si>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</si>
  <si>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</si>
  <si>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</si>
  <si>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</si>
  <si>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</si>
  <si>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</si>
  <si>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</si>
  <si>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</si>
  <si>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</si>
  <si>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</si>
  <si>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</si>
  <si>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</si>
  <si>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</si>
  <si>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</si>
  <si>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</si>
  <si>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</si>
  <si>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</si>
  <si>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</si>
  <si>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</si>
  <si>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</si>
  <si>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</si>
  <si>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</si>
  <si>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</si>
  <si>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</si>
  <si>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</si>
  <si>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</si>
  <si>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</si>
  <si>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</si>
  <si>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</si>
  <si>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</si>
  <si>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</si>
  <si>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</si>
  <si>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</si>
  <si>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</si>
  <si>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</si>
  <si>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</si>
  <si>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</si>
  <si>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</si>
  <si>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</si>
  <si>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</si>
  <si>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</si>
  <si>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</si>
  <si>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</si>
  <si>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</si>
  <si>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</si>
  <si>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</si>
  <si>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</si>
  <si>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</si>
  <si>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</si>
  <si>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</si>
  <si>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</si>
  <si>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</si>
  <si>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</si>
  <si>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</si>
  <si>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</si>
  <si>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</si>
  <si>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</si>
  <si>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</si>
  <si>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</si>
  <si>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</si>
  <si>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</si>
  <si>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</si>
  <si>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</si>
  <si>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</si>
  <si>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</si>
  <si>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</si>
  <si>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</si>
  <si>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</si>
  <si>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</si>
  <si>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</si>
  <si>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</si>
  <si>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</si>
  <si>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</si>
  <si>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</si>
  <si>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</si>
  <si>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</si>
  <si>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</si>
  <si>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</si>
  <si>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</si>
  <si>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</si>
  <si>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</si>
  <si>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</si>
  <si>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</si>
  <si>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</si>
  <si>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</si>
  <si>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</si>
  <si>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</si>
  <si>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</si>
  <si>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</si>
  <si>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</si>
  <si>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</si>
  <si>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</si>
  <si>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</si>
  <si>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</si>
  <si>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</si>
  <si>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</si>
  <si>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</si>
  <si>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</si>
  <si>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</si>
  <si>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</si>
  <si>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</si>
  <si>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</si>
  <si>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</si>
  <si>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</si>
  <si>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</si>
  <si>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</si>
  <si>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</si>
  <si>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</si>
  <si>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</si>
  <si>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</si>
  <si>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</si>
  <si>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</si>
  <si>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</si>
  <si>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</si>
  <si>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</si>
  <si>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</si>
  <si>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</si>
  <si>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</si>
  <si>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</si>
  <si>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</si>
  <si>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</si>
  <si>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</si>
  <si>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</si>
  <si>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</si>
  <si>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</si>
  <si>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</si>
  <si>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</si>
  <si>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</si>
  <si>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</si>
  <si>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</si>
  <si>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</si>
  <si>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</si>
  <si>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</si>
  <si>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</si>
  <si>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</si>
  <si>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</si>
  <si>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</si>
  <si>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</si>
  <si>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</si>
  <si>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</si>
  <si>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</si>
  <si>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</si>
  <si>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</si>
  <si>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</si>
  <si>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</si>
  <si>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</si>
  <si>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</si>
  <si>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</si>
  <si>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</si>
  <si>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</si>
  <si>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</si>
  <si>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</si>
  <si>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</si>
  <si>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</si>
  <si>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</si>
  <si>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</si>
  <si>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</si>
  <si>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</si>
  <si>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</si>
  <si>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</si>
  <si>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</si>
  <si>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</si>
  <si>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</si>
  <si>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</si>
  <si>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</si>
  <si>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</si>
  <si>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</si>
  <si>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</si>
  <si>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</si>
  <si>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</si>
  <si>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</si>
  <si>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</si>
  <si>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</si>
  <si>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</si>
  <si>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</si>
  <si>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</si>
  <si>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</si>
  <si>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</si>
  <si>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</si>
  <si>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</si>
  <si>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</si>
  <si>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</si>
  <si>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</si>
  <si>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</si>
  <si>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</si>
  <si>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</si>
  <si>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</si>
  <si>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</si>
  <si>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</si>
  <si>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</si>
  <si>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</si>
  <si>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</si>
  <si>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</si>
  <si>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</si>
  <si>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</si>
  <si>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</si>
  <si>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</si>
  <si>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</si>
  <si>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</si>
  <si>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</si>
  <si>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</si>
  <si>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</si>
  <si>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</si>
  <si>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</si>
  <si>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</si>
  <si>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</si>
  <si>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</si>
  <si>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</si>
  <si>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</si>
  <si>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</si>
  <si>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</si>
  <si>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</si>
  <si>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</si>
  <si>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</si>
  <si>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</si>
  <si>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</si>
  <si>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</si>
  <si>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</si>
  <si>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</si>
  <si>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</si>
  <si>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</si>
  <si>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</si>
  <si>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</si>
  <si>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</si>
  <si>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</si>
  <si>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</si>
  <si>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</si>
  <si>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</si>
  <si>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</si>
  <si>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</si>
  <si>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</si>
  <si>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</si>
  <si>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</si>
  <si>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</si>
  <si>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</si>
  <si>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</si>
  <si>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</si>
  <si>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</si>
  <si>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</si>
  <si>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</si>
  <si>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</si>
  <si>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</si>
  <si>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</si>
  <si>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</si>
  <si>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</si>
  <si>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</si>
  <si>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</si>
  <si>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</si>
  <si>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</si>
  <si>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</si>
  <si>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</si>
  <si>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</si>
  <si>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</si>
  <si>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</si>
  <si>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</si>
  <si>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</si>
  <si>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</si>
  <si>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</si>
  <si>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</si>
  <si>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</si>
  <si>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</si>
  <si>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</si>
  <si>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</si>
  <si>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</si>
  <si>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</si>
  <si>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</si>
  <si>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</si>
  <si>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</si>
  <si>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</si>
  <si>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</si>
  <si>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</si>
  <si>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</si>
  <si>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</si>
  <si>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</si>
  <si>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</si>
  <si>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</si>
  <si>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</si>
  <si>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</si>
  <si>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</si>
  <si>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</si>
  <si>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</si>
  <si>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</si>
  <si>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</si>
  <si>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</si>
  <si>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</si>
  <si>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</si>
  <si>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</si>
  <si>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</si>
  <si>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</si>
  <si>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</si>
  <si>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</si>
  <si>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</si>
  <si>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</si>
  <si>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</si>
  <si>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</si>
  <si>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</si>
  <si>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</si>
  <si>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</si>
  <si>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</si>
  <si>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</si>
  <si>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</si>
  <si>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</si>
  <si>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</si>
  <si>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</si>
  <si>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</si>
  <si>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</si>
  <si>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</si>
  <si>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</si>
  <si>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</si>
  <si>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</si>
  <si>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</si>
  <si>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</si>
  <si>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</si>
  <si>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</si>
  <si>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</si>
  <si>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</si>
  <si>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</si>
  <si>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</si>
  <si>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</si>
  <si>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</si>
  <si>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</si>
  <si>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</si>
  <si>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</si>
  <si>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</si>
  <si>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</si>
  <si>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</si>
  <si>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</si>
  <si>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</si>
  <si>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</si>
  <si>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</si>
  <si>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</si>
  <si>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</si>
  <si>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</si>
  <si>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</si>
  <si>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</si>
  <si>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</si>
  <si>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</si>
  <si>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</si>
  <si>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</si>
  <si>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</si>
  <si>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</si>
  <si>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</si>
  <si>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</si>
  <si>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</si>
  <si>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</si>
  <si>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</si>
  <si>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</si>
  <si>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</si>
  <si>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</si>
  <si>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</si>
  <si>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</si>
  <si>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</si>
  <si>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</si>
  <si>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</si>
  <si>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</si>
  <si>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</si>
  <si>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</si>
  <si>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</si>
  <si>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</si>
  <si>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</si>
  <si>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</si>
  <si>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</si>
  <si>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</si>
  <si>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</si>
  <si>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</si>
  <si>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</si>
  <si>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</si>
  <si>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</si>
  <si>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</si>
  <si>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</si>
  <si>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</si>
  <si>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</si>
  <si>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</si>
  <si>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</si>
  <si>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</si>
  <si>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</si>
  <si>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</si>
  <si>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</si>
  <si>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</si>
  <si>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</si>
  <si>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</si>
  <si>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</si>
  <si>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</si>
  <si>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</si>
  <si>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</si>
  <si>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</si>
  <si>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</si>
  <si>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</si>
  <si>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</si>
  <si>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</si>
  <si>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</si>
  <si>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</si>
  <si>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</si>
  <si>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</si>
  <si>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</si>
  <si>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</si>
  <si>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</si>
  <si>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</si>
  <si>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</si>
  <si>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</si>
  <si>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</si>
  <si>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</si>
  <si>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</si>
  <si>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</si>
  <si>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</si>
  <si>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</si>
  <si>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</si>
  <si>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</si>
  <si>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</si>
  <si>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</si>
  <si>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</si>
  <si>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</si>
  <si>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</si>
  <si>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</si>
  <si>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</si>
  <si>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</si>
  <si>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</si>
  <si>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</si>
  <si>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</si>
  <si>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</si>
  <si>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</si>
  <si>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</si>
  <si>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</si>
  <si>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</si>
  <si>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</si>
  <si>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</si>
  <si>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</si>
  <si>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</si>
  <si>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</si>
  <si>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</si>
  <si>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</si>
  <si>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</si>
  <si>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</si>
  <si>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</si>
  <si>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</si>
  <si>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</si>
  <si>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</si>
  <si>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</si>
  <si>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</si>
  <si>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</si>
  <si>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</si>
  <si>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</si>
  <si>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</si>
  <si>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</si>
  <si>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</si>
  <si>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</si>
  <si>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</si>
  <si>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</si>
  <si>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</si>
  <si>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</si>
  <si>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</si>
  <si>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</si>
  <si>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</si>
  <si>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</si>
  <si>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</si>
  <si>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</si>
  <si>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</si>
  <si>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</si>
  <si>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</si>
  <si>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</si>
  <si>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</si>
  <si>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</si>
  <si>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</si>
  <si>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</si>
  <si>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</si>
  <si>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</si>
  <si>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</si>
  <si>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</si>
  <si>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</si>
  <si>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</si>
  <si>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</si>
  <si>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</si>
  <si>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</si>
  <si>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</si>
  <si>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</si>
  <si>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</si>
  <si>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</si>
  <si>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</si>
  <si>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</si>
  <si>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</si>
  <si>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</si>
  <si>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</si>
  <si>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</si>
  <si>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</si>
  <si>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</si>
  <si>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</si>
  <si>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</si>
  <si>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</si>
  <si>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</si>
  <si>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</si>
  <si>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</si>
  <si>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</si>
  <si>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</si>
  <si>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</si>
  <si>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</si>
  <si>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</si>
  <si>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</si>
  <si>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</si>
  <si>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</si>
  <si>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</si>
  <si>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</si>
  <si>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</si>
  <si>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</si>
  <si>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</si>
  <si>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09 dic. 2025</t>
  </si>
  <si>
    <t>Tribunales de Justicia</t>
  </si>
  <si>
    <t>CATALUÑA</t>
  </si>
  <si>
    <t>Provincias</t>
  </si>
  <si>
    <t>BARCELONA</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</si>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</sst>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3</v>
      </c>
      <c r="E5" s="371"/>
      <c r="F5" s="3"/>
      <c r="H5" t="s">
        <v>424</v>
      </c>
      <c r="Q5" s="345">
        <v>3</v>
      </c>
      <c r="R5" s="345">
        <v>2</v>
      </c>
      <c r="S5" t="b">
        <f>AND(Q5&gt;=TrimIni,Q5&lt;=TrimFin)</f>
        <v>1</v>
      </c>
    </row>
    <row r="6" spans="1:19" ht="15">
      <c r="A6" s="372"/>
      <c r="B6" s="371"/>
      <c r="C6" s="369" t="s">
        <v>216</v>
      </c>
      <c r="D6" s="370">
        <v>3</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5.5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915</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0x0HX/jxENmRlH4Fn20iW21cQKb6p13WS49HAjBiYcVzNRbRqgVg7FgM6CJ4fCCvQj1x1WmaWHRhQOPmS2X3KQ==" saltValue="rOxRdI7kz4wsGZRNGK2/V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CATALUÑA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3 al 3</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54</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f>IF(ISNUMBER(NºAsuntos!I9/NºAsuntos!G9),(NºAsuntos!I9/NºAsuntos!G9)*11," - ")</f>
        <v>28.590927158898939</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5</v>
      </c>
      <c r="B10" s="501" t="str">
        <f>Datos!A10</f>
        <v>Jdos. Violencia contra la mujer/Secc Viol. TI.</v>
      </c>
      <c r="C10" s="224">
        <f t="shared" si="0"/>
        <v>483</v>
      </c>
      <c r="D10" s="224">
        <f>IF(ISNUMBER(Datos!I10),Datos!I10," - ")</f>
        <v>483</v>
      </c>
      <c r="E10" s="225">
        <f>IF(ISNUMBER(Datos!J10),Datos!J10," - ")</f>
        <v>160</v>
      </c>
      <c r="F10" s="225">
        <f>IF(ISNUMBER(Datos!K10),Datos!K10," - ")</f>
        <v>164</v>
      </c>
      <c r="G10" s="1033" t="str">
        <f>IF(Datos!E10&lt;&gt;"",Datos!E10,Datos!D10)</f>
        <v>37</v>
      </c>
      <c r="H10" s="226">
        <f>IF(ISNUMBER(Datos!L10),Datos!L10," - ")</f>
        <v>479</v>
      </c>
      <c r="I10" s="1043" t="str">
        <f>IF(ISNUMBER(Datos!AS10/Datos!BM10),Datos!AS10/Datos!BM10," - ")</f>
        <v xml:space="preserve"> - </v>
      </c>
      <c r="J10" s="1044">
        <f>IF(ISNUMBER(Datos!BY10/Datos!CN10),Datos!BY10/Datos!CN10," - ")</f>
        <v>0</v>
      </c>
      <c r="K10" s="229">
        <f t="shared" ref="K10:K12" si="1">IF(ISNUMBER((E10-F10)/C10),(E10-F10)/C10," - ")</f>
        <v>-8.2815734989648039E-3</v>
      </c>
      <c r="L10" s="1024">
        <f>IF(ISNUMBER(NºAsuntos!I10/NºAsuntos!G10),(NºAsuntos!I10/NºAsuntos!G10)*11," - ")</f>
        <v>32.128048780487809</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8</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f>IF(ISNUMBER(NºAsuntos!I11/NºAsuntos!G11),(NºAsuntos!I11/NºAsuntos!G11)*11," - ")</f>
        <v>23.23841059602649</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0</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t="str">
        <f>IF(ISNUMBER(NºAsuntos!I12/NºAsuntos!G12),(NºAsuntos!I12/NºAsuntos!G12)*11," - ")</f>
        <v xml:space="preserve"> - </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483</v>
      </c>
      <c r="D13" s="1048">
        <f>SUBTOTAL(9,D9:D12)</f>
        <v>483</v>
      </c>
      <c r="E13" s="1049">
        <f>SUBTOTAL(9,E9:E12)</f>
        <v>160</v>
      </c>
      <c r="F13" s="1050">
        <f>SUBTOTAL(9,F9:F12)</f>
        <v>164</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33</v>
      </c>
      <c r="B15" s="501" t="str">
        <f>Datos!A15</f>
        <v xml:space="preserve">Jdos. Instrucción                               </v>
      </c>
      <c r="C15" s="224">
        <f t="shared" ref="C15:C17" si="2">IF(ISNUMBER(H15-E15+F15),H15-E15+F15," - ")</f>
        <v>22336</v>
      </c>
      <c r="D15" s="224">
        <f>IF(ISNUMBER(IF(D_I="SI",Datos!I15,Datos!I15+Datos!AC15)),IF(D_I="SI",Datos!I15,Datos!I15+Datos!AC15)," - ")</f>
        <v>22006</v>
      </c>
      <c r="E15" s="225">
        <f>IF(ISNUMBER(IF(D_I="SI",Datos!J15,Datos!J15+Datos!AD15)),IF(D_I="SI",Datos!J15,Datos!J15+Datos!AD15)," - ")</f>
        <v>34468</v>
      </c>
      <c r="F15" s="225">
        <f>IF(ISNUMBER(IF(D_I="SI",Datos!K15,Datos!K15+Datos!AE15)),IF(D_I="SI",Datos!K15,Datos!K15+Datos!AE15)," - ")</f>
        <v>31958</v>
      </c>
      <c r="G15" s="1033" t="str">
        <f>IF(Datos!E15&lt;&gt;"",Datos!E15,Datos!D15)</f>
        <v>03</v>
      </c>
      <c r="H15" s="226">
        <f>IF(ISNUMBER(IF(D_I="SI",Datos!L15,Datos!L15+Datos!AF15)),IF(D_I="SI",Datos!L15,Datos!L15+Datos!AF15)," - ")</f>
        <v>24846</v>
      </c>
      <c r="I15" s="1043" t="str">
        <f>IF(ISNUMBER(Datos!AS15/Datos!BM15),Datos!AS15/Datos!BM15," - ")</f>
        <v xml:space="preserve"> - </v>
      </c>
      <c r="J15" s="1044">
        <f>IF(ISNUMBER(Datos!BY15/Datos!CN15),Datos!BY15/Datos!CN15," - ")</f>
        <v>0</v>
      </c>
      <c r="K15" s="229">
        <f t="shared" ref="K15:K17" si="3">IF(ISNUMBER((E15-F15)/C15),(E15-F15)/C15," - ")</f>
        <v>0.11237464183381089</v>
      </c>
      <c r="L15" s="1024">
        <f>IF(ISNUMBER(NºAsuntos!I15/NºAsuntos!G15),(NºAsuntos!I15/NºAsuntos!G15)*11," - ")</f>
        <v>8.5520370486263229</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0</v>
      </c>
      <c r="B16" s="501" t="str">
        <f>Datos!A16</f>
        <v xml:space="preserve">Jdos. 1ª Instª. e Instr./Secc. Civil y de Inst. TI                      </v>
      </c>
      <c r="C16" s="224" t="str">
        <f t="shared" si="2"/>
        <v xml:space="preserve"> - </v>
      </c>
      <c r="D16" s="224" t="str">
        <f>IF(ISNUMBER(IF(D_I="SI",Datos!I16,Datos!I16+Datos!AC16)),IF(D_I="SI",Datos!I16,Datos!I16+Datos!AC16)," - ")</f>
        <v xml:space="preserve"> - </v>
      </c>
      <c r="E16" s="225" t="str">
        <f>IF(ISNUMBER(IF(D_I="SI",Datos!J16,Datos!J16+Datos!AD16)),IF(D_I="SI",Datos!J16,Datos!J16+Datos!AD16)," - ")</f>
        <v xml:space="preserve"> - </v>
      </c>
      <c r="F16" s="225" t="str">
        <f>IF(ISNUMBER(IF(D_I="SI",Datos!K16,Datos!K16+Datos!AE16)),IF(D_I="SI",Datos!K16,Datos!K16+Datos!AE16)," - ")</f>
        <v xml:space="preserve"> - </v>
      </c>
      <c r="G16" s="1033" t="str">
        <f>IF(Datos!E16&lt;&gt;"",Datos!E16,Datos!D16)</f>
        <v>04</v>
      </c>
      <c r="H16" s="226" t="str">
        <f>IF(ISNUMBER(IF(D_I="SI",Datos!L16,Datos!L16+Datos!AF16)),IF(D_I="SI",Datos!L16,Datos!L16+Datos!AF16)," - ")</f>
        <v xml:space="preserve"> - </v>
      </c>
      <c r="I16" s="1043" t="str">
        <f>IF(ISNUMBER(Datos!AS16/Datos!BM16),Datos!AS16/Datos!BM16," - ")</f>
        <v xml:space="preserve"> - </v>
      </c>
      <c r="J16" s="1044">
        <f>IF(ISNUMBER(Datos!BY16/Datos!CN16),Datos!BY16/Datos!CN16," - ")</f>
        <v>0</v>
      </c>
      <c r="K16" s="229" t="str">
        <f t="shared" si="3"/>
        <v xml:space="preserve"> - </v>
      </c>
      <c r="L16" s="1024" t="str">
        <f>IF(ISNUMBER(NºAsuntos!I16/NºAsuntos!G16),(NºAsuntos!I16/NºAsuntos!G16)*11," - ")</f>
        <v xml:space="preserve"> - </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5</v>
      </c>
      <c r="B17" s="501" t="str">
        <f>Datos!A17</f>
        <v>Jdos. Violencia contra la mujer/Secc Viol. TI.</v>
      </c>
      <c r="C17" s="224">
        <f t="shared" si="2"/>
        <v>1600</v>
      </c>
      <c r="D17" s="224">
        <f>IF(ISNUMBER(IF(D_I="SI",Datos!I17,Datos!I17+Datos!AC17)),IF(D_I="SI",Datos!I17,Datos!I17+Datos!AC17)," - ")</f>
        <v>1583</v>
      </c>
      <c r="E17" s="225">
        <f>IF(ISNUMBER(IF(D_I="SI",Datos!J17,Datos!J17+Datos!AD17)),IF(D_I="SI",Datos!J17,Datos!J17+Datos!AD17)," - ")</f>
        <v>1871</v>
      </c>
      <c r="F17" s="225">
        <f>IF(ISNUMBER(IF(D_I="SI",Datos!K17,Datos!K17+Datos!AE17)),IF(D_I="SI",Datos!K17,Datos!K17+Datos!AE17)," - ")</f>
        <v>1684</v>
      </c>
      <c r="G17" s="1033" t="str">
        <f>IF(Datos!E17&lt;&gt;"",Datos!E17,Datos!D17)</f>
        <v>37</v>
      </c>
      <c r="H17" s="226">
        <f>IF(ISNUMBER(IF(D_I="SI",Datos!L17,Datos!L17+Datos!AF17)),IF(D_I="SI",Datos!L17,Datos!L17+Datos!AF17)," - ")</f>
        <v>1787</v>
      </c>
      <c r="I17" s="1043" t="str">
        <f>IF(ISNUMBER(Datos!AS17/Datos!BM17),Datos!AS17/Datos!BM17," - ")</f>
        <v xml:space="preserve"> - </v>
      </c>
      <c r="J17" s="1044" t="str">
        <f>IF(ISNUMBER((Datos!BY17+Datos!BZ17)/Datos!CN17),(Datos!BY17+Datos!BZ17)/Datos!CN17," - ")</f>
        <v xml:space="preserve"> - </v>
      </c>
      <c r="K17" s="229">
        <f t="shared" si="3"/>
        <v>0.11687500000000001</v>
      </c>
      <c r="L17" s="1024">
        <f>IF(ISNUMBER(NºAsuntos!I17/NºAsuntos!G17),(NºAsuntos!I17/NºAsuntos!G17)*11," - ")</f>
        <v>11.672802850356295</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23936</v>
      </c>
      <c r="D18" s="1048">
        <f>SUBTOTAL(9,D15:D17)</f>
        <v>23589</v>
      </c>
      <c r="E18" s="1049">
        <f>SUBTOTAL(9,E15:E17)</f>
        <v>36339</v>
      </c>
      <c r="F18" s="1049">
        <f>SUBTOTAL(9,F15:F17)</f>
        <v>33642</v>
      </c>
      <c r="G18" s="1051" t="str">
        <f ca="1">INDIRECT(CONCATENATE("G",ROW()-1))</f>
        <v>37</v>
      </c>
      <c r="H18" s="1052">
        <f ca="1">SUMIF(G$14:G17,G18,H$14:H17)</f>
        <v>1787</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24419</v>
      </c>
      <c r="D19" s="1070">
        <f>SUBTOTAL(9,D9:D18)</f>
        <v>24072</v>
      </c>
      <c r="E19" s="1071">
        <f>SUBTOTAL(9,E9:E18)</f>
        <v>36499</v>
      </c>
      <c r="F19" s="1071">
        <f>SUBTOTAL(9,F9:F18)</f>
        <v>33806</v>
      </c>
      <c r="G19" s="1072"/>
      <c r="H19" s="1073">
        <f ca="1">SUMIF(B9:B18,"TOTAL",H9:H18)</f>
        <v>1787</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09 dic. 2025</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dNXq2soLAyank/6+zR4jsqRkijuE8biQShPX/BWd/mk5RmKMThx70reBcsGY92mVVHzxCPj38w6hSjf8fxN1eA==" saltValue="WbzIDjQCHO3niH86Gqu/7Q=="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DQduPOtPbyNsv527s+Vn50RbDmvOlcoqKaDH4a6gw/4e75prVOHjp9gxR8G//fzBKp+lkACAtd6Hv2eO35VNjg==" saltValue="imyuAdX44h1CiSAyDV7L7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BARCELONA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v>54902</v>
      </c>
      <c r="J9" s="180">
        <v>14098</v>
      </c>
      <c r="K9" s="180">
        <v>18326</v>
      </c>
      <c r="L9" s="180">
        <v>50790</v>
      </c>
      <c r="M9" s="180">
        <v>5206</v>
      </c>
      <c r="N9" s="180">
        <v>9488</v>
      </c>
      <c r="O9" s="180">
        <v>8352</v>
      </c>
      <c r="P9" s="180">
        <v>9522</v>
      </c>
      <c r="Q9" s="180">
        <v>8244</v>
      </c>
      <c r="R9" s="180">
        <v>83086</v>
      </c>
      <c r="S9" s="180">
        <v>51655</v>
      </c>
      <c r="T9" s="180">
        <v>18645</v>
      </c>
      <c r="U9" s="180">
        <v>17006</v>
      </c>
      <c r="V9" s="180">
        <v>53280</v>
      </c>
      <c r="W9" s="180">
        <v>5175</v>
      </c>
      <c r="X9" s="187">
        <v>8059</v>
      </c>
      <c r="Y9" s="190">
        <v>956</v>
      </c>
      <c r="Z9" s="180">
        <v>2360</v>
      </c>
      <c r="AA9" s="180">
        <v>1800</v>
      </c>
      <c r="AB9" s="180">
        <v>1521</v>
      </c>
      <c r="AC9" s="180">
        <v>0</v>
      </c>
      <c r="AD9" s="180">
        <v>0</v>
      </c>
      <c r="AE9" s="180">
        <v>0</v>
      </c>
      <c r="AF9" s="187">
        <v>0</v>
      </c>
      <c r="AG9" s="190">
        <v>728</v>
      </c>
      <c r="AH9" s="180">
        <v>1505</v>
      </c>
      <c r="AI9" s="180">
        <v>1414</v>
      </c>
      <c r="AJ9" s="191">
        <v>819</v>
      </c>
      <c r="AK9" s="179">
        <v>0</v>
      </c>
      <c r="AL9" s="180">
        <v>0</v>
      </c>
      <c r="AM9" s="180">
        <v>0</v>
      </c>
      <c r="AN9" s="187">
        <v>0</v>
      </c>
      <c r="AO9" s="257">
        <v>54</v>
      </c>
      <c r="AP9" s="153">
        <v>54</v>
      </c>
      <c r="AQ9" s="153">
        <v>54</v>
      </c>
      <c r="AR9" s="192">
        <v>54</v>
      </c>
      <c r="AS9" s="337" t="s">
        <v>791</v>
      </c>
      <c r="AT9" s="194"/>
      <c r="AU9" s="193"/>
      <c r="AV9" s="194"/>
      <c r="AW9" s="193"/>
      <c r="AX9" s="194"/>
      <c r="AY9" s="123">
        <f>IF(ISNUMBER(IF(J_V="SI",S9,S9+AG9)),IF(J_V="SI",S9,S9+AG9)," - ")</f>
        <v>52383</v>
      </c>
      <c r="AZ9" s="123">
        <f>IF(ISNUMBER(IF(J_V="SI",T9,T9+AH9)),IF(J_V="SI",T9,T9+AH9)," - ")</f>
        <v>20150</v>
      </c>
      <c r="BA9" s="124">
        <f>IF(ISNUMBER(IF(J_V="SI",U9,U9+AI9)),IF(J_V="SI",U9,U9+AI9)," - ")</f>
        <v>18420</v>
      </c>
      <c r="BB9" s="124">
        <f>IF(ISNUMBER(IF(J_V="SI",V9,V9+AJ9)),IF(J_V="SI",V9,V9+AJ9)," - ")</f>
        <v>54099</v>
      </c>
      <c r="BC9" s="125">
        <f>IF(ISNUMBER(X9),X9," - ")</f>
        <v>8059</v>
      </c>
      <c r="BD9" s="126">
        <f>IF(ISNUMBER(BA9/AZ9),BA9/AZ9," - ")</f>
        <v>0.91414392059553351</v>
      </c>
      <c r="BE9" s="127">
        <f>IF(ISNUMBER(BB9/BA9),BB9/BA9, " - ")</f>
        <v>2.9369706840390881</v>
      </c>
      <c r="BF9" s="127">
        <f>IF(ISNUMBER(BC9/BA9),BC9/BA9, " - ")</f>
        <v>0.43751357220412596</v>
      </c>
      <c r="BG9" s="195">
        <f>IF(ISNUMBER((AY9+AZ9)/BA9),(AY9+AZ9)/BA9," - ")</f>
        <v>3.9377307274701412</v>
      </c>
      <c r="BH9" s="153">
        <v>54</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483</v>
      </c>
      <c r="J10" s="180">
        <v>160</v>
      </c>
      <c r="K10" s="180">
        <v>164</v>
      </c>
      <c r="L10" s="180">
        <v>479</v>
      </c>
      <c r="M10" s="180">
        <v>35</v>
      </c>
      <c r="N10" s="180">
        <v>56</v>
      </c>
      <c r="O10" s="180">
        <v>56</v>
      </c>
      <c r="P10" s="180">
        <v>29</v>
      </c>
      <c r="Q10" s="180">
        <v>40</v>
      </c>
      <c r="R10" s="180">
        <v>587</v>
      </c>
      <c r="S10" s="180">
        <v>512</v>
      </c>
      <c r="T10" s="180">
        <v>157</v>
      </c>
      <c r="U10" s="180">
        <v>153</v>
      </c>
      <c r="V10" s="180">
        <v>516</v>
      </c>
      <c r="W10" s="180">
        <v>42</v>
      </c>
      <c r="X10" s="187">
        <v>71</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5</v>
      </c>
      <c r="AP10" s="154">
        <v>5</v>
      </c>
      <c r="AQ10" s="153">
        <v>5</v>
      </c>
      <c r="AR10" s="154">
        <v>5</v>
      </c>
      <c r="AS10" s="338" t="s">
        <v>785</v>
      </c>
      <c r="AT10" s="191"/>
      <c r="AU10" s="199"/>
      <c r="AV10" s="191"/>
      <c r="AW10" s="199"/>
      <c r="AX10" s="191"/>
      <c r="AY10" s="128">
        <f t="shared" ref="AY10:BC10" si="0">IF(ISNUMBER(S10),S10," - ")</f>
        <v>512</v>
      </c>
      <c r="AZ10" s="129">
        <f t="shared" si="0"/>
        <v>157</v>
      </c>
      <c r="BA10" s="129">
        <f t="shared" si="0"/>
        <v>153</v>
      </c>
      <c r="BB10" s="129">
        <f t="shared" si="0"/>
        <v>516</v>
      </c>
      <c r="BC10" s="125">
        <f t="shared" si="0"/>
        <v>42</v>
      </c>
      <c r="BD10" s="126">
        <f>IF(ISNUMBER(BA10/AZ10),BA10/AZ10," - ")</f>
        <v>0.97452229299363058</v>
      </c>
      <c r="BE10" s="127">
        <f>IF(ISNUMBER(BB10/BA10),BB10/BA10, " - ")</f>
        <v>3.3725490196078431</v>
      </c>
      <c r="BF10" s="127">
        <f>IF(ISNUMBER(BC10/BA10),BC10/BA10, " - ")</f>
        <v>0.27450980392156865</v>
      </c>
      <c r="BG10" s="195">
        <f>IF(ISNUMBER((AY10+AZ10)/BA10),(AY10+AZ10)/BA10," - ")</f>
        <v>4.3725490196078427</v>
      </c>
      <c r="BH10" s="154">
        <v>5</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v>2666</v>
      </c>
      <c r="J11" s="182">
        <v>1236</v>
      </c>
      <c r="K11" s="182">
        <v>1242</v>
      </c>
      <c r="L11" s="182">
        <v>2715</v>
      </c>
      <c r="M11" s="182">
        <v>535</v>
      </c>
      <c r="N11" s="182">
        <v>490</v>
      </c>
      <c r="O11" s="180">
        <v>400</v>
      </c>
      <c r="P11" s="182">
        <v>207</v>
      </c>
      <c r="Q11" s="182">
        <v>304</v>
      </c>
      <c r="R11" s="182">
        <v>2899</v>
      </c>
      <c r="S11" s="182">
        <v>2831</v>
      </c>
      <c r="T11" s="182">
        <v>1415</v>
      </c>
      <c r="U11" s="182">
        <v>1325</v>
      </c>
      <c r="V11" s="182">
        <v>2936</v>
      </c>
      <c r="W11" s="182">
        <v>564</v>
      </c>
      <c r="X11" s="188">
        <v>454</v>
      </c>
      <c r="Y11" s="190">
        <v>165</v>
      </c>
      <c r="Z11" s="180">
        <v>106</v>
      </c>
      <c r="AA11" s="180">
        <v>117</v>
      </c>
      <c r="AB11" s="180">
        <v>156</v>
      </c>
      <c r="AC11" s="182">
        <v>0</v>
      </c>
      <c r="AD11" s="182">
        <v>0</v>
      </c>
      <c r="AE11" s="182">
        <v>0</v>
      </c>
      <c r="AF11" s="188">
        <v>0</v>
      </c>
      <c r="AG11" s="201">
        <v>154</v>
      </c>
      <c r="AH11" s="182">
        <v>93</v>
      </c>
      <c r="AI11" s="182">
        <v>100</v>
      </c>
      <c r="AJ11" s="202">
        <v>147</v>
      </c>
      <c r="AK11" s="181">
        <v>0</v>
      </c>
      <c r="AL11" s="182">
        <v>0</v>
      </c>
      <c r="AM11" s="182">
        <v>0</v>
      </c>
      <c r="AN11" s="188">
        <v>0</v>
      </c>
      <c r="AO11" s="258">
        <v>8</v>
      </c>
      <c r="AP11" s="154">
        <v>8</v>
      </c>
      <c r="AQ11" s="154">
        <v>8</v>
      </c>
      <c r="AR11" s="153">
        <v>8</v>
      </c>
      <c r="AS11" s="339" t="s">
        <v>793</v>
      </c>
      <c r="AT11" s="202"/>
      <c r="AU11" s="201"/>
      <c r="AV11" s="202"/>
      <c r="AW11" s="201"/>
      <c r="AX11" s="202"/>
      <c r="AY11" s="126">
        <f t="shared" ref="AY11:BB12" si="1">IF(ISNUMBER(IF(J_V="SI",S11,S11+AG11)),IF(J_V="SI",S11,S11+AG11)," - ")</f>
        <v>2985</v>
      </c>
      <c r="AZ11" s="127">
        <f t="shared" si="1"/>
        <v>1508</v>
      </c>
      <c r="BA11" s="127">
        <f t="shared" si="1"/>
        <v>1425</v>
      </c>
      <c r="BB11" s="127">
        <f t="shared" si="1"/>
        <v>3083</v>
      </c>
      <c r="BC11" s="125">
        <f>IF(ISNUMBER(X11),X11," - ")</f>
        <v>454</v>
      </c>
      <c r="BD11" s="126">
        <f t="shared" ref="BD11:BD12" si="2">IF(ISNUMBER(BA11/AZ11),BA11/AZ11," - ")</f>
        <v>0.94496021220159154</v>
      </c>
      <c r="BE11" s="127">
        <f t="shared" ref="BE11:BE12" si="3">IF(ISNUMBER(BB11/BA11),BB11/BA11, " - ")</f>
        <v>2.1635087719298247</v>
      </c>
      <c r="BF11" s="127">
        <f t="shared" ref="BF11:BF12" si="4">IF(ISNUMBER(BC11/BA11),BC11/BA11, " - ")</f>
        <v>0.31859649122807016</v>
      </c>
      <c r="BG11" s="195">
        <f t="shared" ref="BG11:BG12" si="5">IF(ISNUMBER((AY11+AZ11)/BA11),(AY11+AZ11)/BA11," - ")</f>
        <v>3.152982456140351</v>
      </c>
      <c r="BH11" s="154">
        <v>8</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t="s">
        <v>798</v>
      </c>
      <c r="J12" s="182" t="s">
        <v>792</v>
      </c>
      <c r="K12" s="182" t="s">
        <v>839</v>
      </c>
      <c r="L12" s="182" t="s">
        <v>802</v>
      </c>
      <c r="M12" s="182" t="s">
        <v>490</v>
      </c>
      <c r="N12" s="182" t="s">
        <v>505</v>
      </c>
      <c r="O12" s="180" t="s">
        <v>224</v>
      </c>
      <c r="P12" s="182" t="s">
        <v>39</v>
      </c>
      <c r="Q12" s="182" t="s">
        <v>40</v>
      </c>
      <c r="R12" s="182" t="s">
        <v>91</v>
      </c>
      <c r="S12" s="182"/>
      <c r="T12" s="182"/>
      <c r="U12" s="182"/>
      <c r="V12" s="182"/>
      <c r="W12" s="182"/>
      <c r="X12" s="188"/>
      <c r="Y12" s="190" t="s">
        <v>134</v>
      </c>
      <c r="Z12" s="180" t="s">
        <v>135</v>
      </c>
      <c r="AA12" s="180" t="s">
        <v>136</v>
      </c>
      <c r="AB12" s="180" t="s">
        <v>137</v>
      </c>
      <c r="AC12" s="182"/>
      <c r="AD12" s="182"/>
      <c r="AE12" s="182"/>
      <c r="AF12" s="188"/>
      <c r="AG12" s="201"/>
      <c r="AH12" s="182"/>
      <c r="AI12" s="182"/>
      <c r="AJ12" s="202"/>
      <c r="AK12" s="181"/>
      <c r="AL12" s="182"/>
      <c r="AM12" s="182"/>
      <c r="AN12" s="188"/>
      <c r="AO12" s="258">
        <v>0</v>
      </c>
      <c r="AP12" s="154">
        <v>0</v>
      </c>
      <c r="AQ12" s="154">
        <v>0</v>
      </c>
      <c r="AR12" s="153">
        <v>0</v>
      </c>
      <c r="AS12" s="339" t="s">
        <v>794</v>
      </c>
      <c r="AT12" s="202"/>
      <c r="AU12" s="201"/>
      <c r="AV12" s="202"/>
      <c r="AW12" s="201"/>
      <c r="AX12" s="202"/>
      <c r="AY12" s="126">
        <f t="shared" si="1"/>
        <v>0</v>
      </c>
      <c r="AZ12" s="127">
        <f t="shared" si="1"/>
        <v>0</v>
      </c>
      <c r="BA12" s="127">
        <f t="shared" si="1"/>
        <v>0</v>
      </c>
      <c r="BB12" s="127">
        <f t="shared" si="1"/>
        <v>0</v>
      </c>
      <c r="BC12" s="125" t="str">
        <f>IF(ISNUMBER(X12),X12," - ")</f>
        <v xml:space="preserve"> - </v>
      </c>
      <c r="BD12" s="126" t="str">
        <f t="shared" si="2"/>
        <v xml:space="preserve"> - </v>
      </c>
      <c r="BE12" s="127" t="str">
        <f t="shared" si="3"/>
        <v xml:space="preserve"> - </v>
      </c>
      <c r="BF12" s="127" t="str">
        <f t="shared" si="4"/>
        <v xml:space="preserve"> - </v>
      </c>
      <c r="BG12" s="195" t="str">
        <f t="shared" si="5"/>
        <v xml:space="preserve"> - </v>
      </c>
      <c r="BH12" s="154">
        <v>0</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58051</v>
      </c>
      <c r="J13" s="183">
        <f t="shared" si="6"/>
        <v>15494</v>
      </c>
      <c r="K13" s="183">
        <f t="shared" si="6"/>
        <v>19732</v>
      </c>
      <c r="L13" s="183">
        <f t="shared" si="6"/>
        <v>53984</v>
      </c>
      <c r="M13" s="183">
        <f t="shared" si="6"/>
        <v>5776</v>
      </c>
      <c r="N13" s="183">
        <f t="shared" si="6"/>
        <v>10034</v>
      </c>
      <c r="O13" s="183">
        <f t="shared" si="6"/>
        <v>8808</v>
      </c>
      <c r="P13" s="183">
        <f t="shared" si="6"/>
        <v>9758</v>
      </c>
      <c r="Q13" s="183">
        <f t="shared" si="6"/>
        <v>8588</v>
      </c>
      <c r="R13" s="183">
        <f t="shared" si="6"/>
        <v>86572</v>
      </c>
      <c r="S13" s="183">
        <f t="shared" si="6"/>
        <v>54998</v>
      </c>
      <c r="T13" s="183">
        <f t="shared" si="6"/>
        <v>20217</v>
      </c>
      <c r="U13" s="183">
        <f t="shared" si="6"/>
        <v>18484</v>
      </c>
      <c r="V13" s="183">
        <f t="shared" si="6"/>
        <v>56732</v>
      </c>
      <c r="W13" s="183">
        <f t="shared" si="6"/>
        <v>5781</v>
      </c>
      <c r="X13" s="183">
        <f t="shared" si="6"/>
        <v>8584</v>
      </c>
      <c r="Y13" s="183">
        <f t="shared" si="6"/>
        <v>1121</v>
      </c>
      <c r="Z13" s="183">
        <f t="shared" si="6"/>
        <v>2466</v>
      </c>
      <c r="AA13" s="183">
        <f t="shared" si="6"/>
        <v>1917</v>
      </c>
      <c r="AB13" s="183">
        <f t="shared" si="6"/>
        <v>1677</v>
      </c>
      <c r="AC13" s="183">
        <f t="shared" si="6"/>
        <v>0</v>
      </c>
      <c r="AD13" s="183">
        <f t="shared" si="6"/>
        <v>0</v>
      </c>
      <c r="AE13" s="183">
        <f t="shared" si="6"/>
        <v>0</v>
      </c>
      <c r="AF13" s="183">
        <f>SUBTOTAL(9,AF9:AF12)</f>
        <v>0</v>
      </c>
      <c r="AG13" s="183">
        <f t="shared" ref="AG13:AT13" si="7">SUBTOTAL(9,AG8:AG12)</f>
        <v>882</v>
      </c>
      <c r="AH13" s="183">
        <f t="shared" si="7"/>
        <v>1598</v>
      </c>
      <c r="AI13" s="183">
        <f t="shared" si="7"/>
        <v>1514</v>
      </c>
      <c r="AJ13" s="183">
        <f t="shared" si="7"/>
        <v>966</v>
      </c>
      <c r="AK13" s="183">
        <f t="shared" si="7"/>
        <v>0</v>
      </c>
      <c r="AL13" s="183">
        <f t="shared" si="7"/>
        <v>0</v>
      </c>
      <c r="AM13" s="183">
        <f t="shared" si="7"/>
        <v>0</v>
      </c>
      <c r="AN13" s="183">
        <f t="shared" si="7"/>
        <v>0</v>
      </c>
      <c r="AO13" s="183">
        <f t="shared" si="7"/>
        <v>67</v>
      </c>
      <c r="AP13" s="183">
        <f t="shared" si="7"/>
        <v>67</v>
      </c>
      <c r="AQ13" s="183">
        <f t="shared" si="7"/>
        <v>67</v>
      </c>
      <c r="AR13" s="183">
        <f t="shared" si="7"/>
        <v>67</v>
      </c>
      <c r="AS13" s="183">
        <f t="shared" si="7"/>
        <v>0</v>
      </c>
      <c r="AT13" s="183">
        <f t="shared" si="7"/>
        <v>0</v>
      </c>
      <c r="AU13" s="203"/>
      <c r="AV13" s="132"/>
      <c r="AW13" s="203"/>
      <c r="AX13" s="132"/>
      <c r="AY13" s="183">
        <f>SUBTOTAL(9,AY8:AY12)</f>
        <v>55880</v>
      </c>
      <c r="AZ13" s="183">
        <f>SUBTOTAL(9,AZ8:AZ12)</f>
        <v>21815</v>
      </c>
      <c r="BA13" s="183">
        <f>SUBTOTAL(9,BA8:BA12)</f>
        <v>19998</v>
      </c>
      <c r="BB13" s="183">
        <f>SUBTOTAL(9,BB8:BB12)</f>
        <v>57698</v>
      </c>
      <c r="BC13" s="183">
        <f>SUBTOTAL(9,BC8:BC12)</f>
        <v>8555</v>
      </c>
      <c r="BD13" s="204">
        <f>IF(ISNUMBER(BA13/AZ13),BA13/AZ13," - ")</f>
        <v>0.91670868668347472</v>
      </c>
      <c r="BE13" s="205">
        <f>IF(ISNUMBER(BB13/BA13),BB13/BA13, " - ")</f>
        <v>2.8851885188518853</v>
      </c>
      <c r="BF13" s="205">
        <f>IF(ISNUMBER(BC13/BA13),BC13/BA13, " - ")</f>
        <v>0.4277927792779278</v>
      </c>
      <c r="BG13" s="206">
        <f>IF(ISNUMBER((AY13+AZ13)/BA13),(AY13+AZ13)/BA13," - ")</f>
        <v>3.885138513851385</v>
      </c>
      <c r="BH13" s="139">
        <f>SUBTOTAL(9,BH8:BH12)</f>
        <v>67</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v>22006</v>
      </c>
      <c r="J15" s="182">
        <v>34468</v>
      </c>
      <c r="K15" s="182">
        <v>31958</v>
      </c>
      <c r="L15" s="182">
        <v>24846</v>
      </c>
      <c r="M15" s="182">
        <v>5723</v>
      </c>
      <c r="N15" s="182">
        <v>16360</v>
      </c>
      <c r="O15" s="180">
        <v>1293</v>
      </c>
      <c r="P15" s="182">
        <v>2268</v>
      </c>
      <c r="Q15" s="182">
        <v>2063</v>
      </c>
      <c r="R15" s="182">
        <v>4633</v>
      </c>
      <c r="S15" s="182">
        <v>19052</v>
      </c>
      <c r="T15" s="182">
        <v>31600</v>
      </c>
      <c r="U15" s="182">
        <v>29812</v>
      </c>
      <c r="V15" s="182">
        <v>21490</v>
      </c>
      <c r="W15" s="182">
        <v>4538</v>
      </c>
      <c r="X15" s="188">
        <v>16331</v>
      </c>
      <c r="Y15" s="201">
        <v>0</v>
      </c>
      <c r="Z15" s="182">
        <v>0</v>
      </c>
      <c r="AA15" s="182">
        <v>0</v>
      </c>
      <c r="AB15" s="182">
        <v>0</v>
      </c>
      <c r="AC15" s="182">
        <v>146</v>
      </c>
      <c r="AD15" s="182">
        <v>3389</v>
      </c>
      <c r="AE15" s="182">
        <v>3249</v>
      </c>
      <c r="AF15" s="188">
        <v>286</v>
      </c>
      <c r="AG15" s="201">
        <v>0</v>
      </c>
      <c r="AH15" s="182">
        <v>0</v>
      </c>
      <c r="AI15" s="182">
        <v>0</v>
      </c>
      <c r="AJ15" s="202">
        <v>0</v>
      </c>
      <c r="AK15" s="181">
        <v>158</v>
      </c>
      <c r="AL15" s="182">
        <v>3560</v>
      </c>
      <c r="AM15" s="182">
        <v>3582</v>
      </c>
      <c r="AN15" s="188">
        <v>136</v>
      </c>
      <c r="AO15" s="258">
        <v>33</v>
      </c>
      <c r="AP15" s="154">
        <v>33</v>
      </c>
      <c r="AQ15" s="154">
        <v>33</v>
      </c>
      <c r="AR15" s="154">
        <v>33</v>
      </c>
      <c r="AS15" s="339" t="s">
        <v>522</v>
      </c>
      <c r="AT15" s="202" t="s">
        <v>326</v>
      </c>
      <c r="AU15" s="201"/>
      <c r="AV15" s="202"/>
      <c r="AW15" s="201"/>
      <c r="AX15" s="202"/>
      <c r="AY15" s="128">
        <f t="shared" ref="AY15:BB16" si="9">IF(ISNUMBER(IF(D_I="SI",S15,S15+AK15)),IF(D_I="SI",S15,S15+AK15)," - ")</f>
        <v>19052</v>
      </c>
      <c r="AZ15" s="129">
        <f t="shared" si="9"/>
        <v>31600</v>
      </c>
      <c r="BA15" s="129">
        <f t="shared" si="9"/>
        <v>29812</v>
      </c>
      <c r="BB15" s="129">
        <f t="shared" si="9"/>
        <v>21490</v>
      </c>
      <c r="BC15" s="125">
        <f>IF(ISNUMBER(W15),W15," - ")</f>
        <v>4538</v>
      </c>
      <c r="BD15" s="126">
        <f>IF(ISNUMBER(BA15/AZ15),BA15/AZ15," - ")</f>
        <v>0.9434177215189874</v>
      </c>
      <c r="BE15" s="127">
        <f>IF(ISNUMBER(BB15/BA15),BB15/BA15, " - ")</f>
        <v>0.72085066416208243</v>
      </c>
      <c r="BF15" s="127">
        <f>IF(ISNUMBER(BC15/BA15),BC15/BA15, " - ")</f>
        <v>0.15222058231584598</v>
      </c>
      <c r="BG15" s="195">
        <f t="shared" ref="BG15:BG16" si="10">IF(ISNUMBER((AY15+AZ15)/BA15),(AY15+AZ15)/BA15," - ")</f>
        <v>1.6990473634777943</v>
      </c>
      <c r="BH15" s="154">
        <v>33</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t="s">
        <v>488</v>
      </c>
      <c r="J16" s="182" t="s">
        <v>484</v>
      </c>
      <c r="K16" s="182" t="s">
        <v>485</v>
      </c>
      <c r="L16" s="182" t="s">
        <v>486</v>
      </c>
      <c r="M16" s="182" t="s">
        <v>491</v>
      </c>
      <c r="N16" s="182" t="s">
        <v>150</v>
      </c>
      <c r="O16" s="180" t="s">
        <v>225</v>
      </c>
      <c r="P16" s="182" t="s">
        <v>470</v>
      </c>
      <c r="Q16" s="182" t="s">
        <v>471</v>
      </c>
      <c r="R16" s="182" t="s">
        <v>472</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487</v>
      </c>
      <c r="AT16" s="202"/>
      <c r="AU16" s="201"/>
      <c r="AV16" s="202"/>
      <c r="AW16" s="201"/>
      <c r="AX16" s="202"/>
      <c r="AY16" s="126" t="str">
        <f t="shared" si="9"/>
        <v xml:space="preserve"> - </v>
      </c>
      <c r="AZ16" s="127" t="str">
        <f t="shared" si="9"/>
        <v xml:space="preserve"> - </v>
      </c>
      <c r="BA16" s="127" t="str">
        <f t="shared" si="9"/>
        <v xml:space="preserve"> - </v>
      </c>
      <c r="BB16" s="127" t="str">
        <f t="shared" si="9"/>
        <v xml:space="preserve"> - </v>
      </c>
      <c r="BC16" s="125" t="str">
        <f>IF(ISNUMBER(W16),W16," - ")</f>
        <v xml:space="preserve"> - </v>
      </c>
      <c r="BD16" s="126" t="str">
        <f t="shared" ref="BD16" si="11">IF(ISNUMBER(BA16/AZ16),BA16/AZ16," - ")</f>
        <v xml:space="preserve"> - </v>
      </c>
      <c r="BE16" s="127" t="str">
        <f t="shared" ref="BE16" si="12">IF(ISNUMBER(BB16/BA16),BB16/BA16, " - ")</f>
        <v xml:space="preserve"> - </v>
      </c>
      <c r="BF16" s="127" t="str">
        <f t="shared" ref="BF16" si="13">IF(ISNUMBER(BC16/BA16),BC16/BA16, " - ")</f>
        <v xml:space="preserve"> - </v>
      </c>
      <c r="BG16" s="195" t="str">
        <f t="shared" si="10"/>
        <v xml:space="preserve"> - </v>
      </c>
      <c r="BH16" s="154">
        <v>0</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1583</v>
      </c>
      <c r="J17" s="182">
        <v>1871</v>
      </c>
      <c r="K17" s="182">
        <v>1684</v>
      </c>
      <c r="L17" s="182">
        <v>1787</v>
      </c>
      <c r="M17" s="182">
        <v>40</v>
      </c>
      <c r="N17" s="182">
        <v>904</v>
      </c>
      <c r="O17" s="182">
        <v>0</v>
      </c>
      <c r="P17" s="182">
        <v>10</v>
      </c>
      <c r="Q17" s="182">
        <v>2</v>
      </c>
      <c r="R17" s="182">
        <v>17</v>
      </c>
      <c r="S17" s="182">
        <v>1590</v>
      </c>
      <c r="T17" s="182">
        <v>1865</v>
      </c>
      <c r="U17" s="182">
        <v>1693</v>
      </c>
      <c r="V17" s="182">
        <v>1766</v>
      </c>
      <c r="W17" s="182">
        <v>48</v>
      </c>
      <c r="X17" s="188">
        <v>986</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5</v>
      </c>
      <c r="AP17" s="154">
        <v>5</v>
      </c>
      <c r="AQ17" s="153">
        <v>5</v>
      </c>
      <c r="AR17" s="154">
        <v>5</v>
      </c>
      <c r="AS17" s="338" t="s">
        <v>784</v>
      </c>
      <c r="AT17" s="208"/>
      <c r="AU17" s="199"/>
      <c r="AV17" s="208"/>
      <c r="AW17" s="199"/>
      <c r="AX17" s="208"/>
      <c r="AY17" s="128">
        <f t="shared" ref="AY17:BB17" si="14">IF(ISNUMBER(S17),S17," - ")</f>
        <v>1590</v>
      </c>
      <c r="AZ17" s="129">
        <f t="shared" si="14"/>
        <v>1865</v>
      </c>
      <c r="BA17" s="129">
        <f t="shared" si="14"/>
        <v>1693</v>
      </c>
      <c r="BB17" s="129">
        <f t="shared" si="14"/>
        <v>1766</v>
      </c>
      <c r="BC17" s="125">
        <f>IF(ISNUMBER(W17),W17," - ")</f>
        <v>48</v>
      </c>
      <c r="BD17" s="126">
        <f>IF(ISNUMBER(BA17/AZ17),BA17/AZ17," - ")</f>
        <v>0.90777479892761392</v>
      </c>
      <c r="BE17" s="127">
        <f>IF(ISNUMBER(BB17/BA17),BB17/BA17, " - ")</f>
        <v>1.0431187241582989</v>
      </c>
      <c r="BF17" s="127">
        <f>IF(ISNUMBER(BC17/BA17),BC17/BA17, " - ")</f>
        <v>2.835203780271707E-2</v>
      </c>
      <c r="BG17" s="195">
        <f>IF(ISNUMBER((AY17+AZ17)/BA17),(AY17+AZ17)/BA17," - ")</f>
        <v>2.0407560543414056</v>
      </c>
      <c r="BH17" s="154">
        <v>5</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23589</v>
      </c>
      <c r="J18" s="183">
        <f t="shared" si="15"/>
        <v>36339</v>
      </c>
      <c r="K18" s="183">
        <f t="shared" si="15"/>
        <v>33642</v>
      </c>
      <c r="L18" s="183">
        <f t="shared" si="15"/>
        <v>26633</v>
      </c>
      <c r="M18" s="183">
        <f t="shared" si="15"/>
        <v>5763</v>
      </c>
      <c r="N18" s="183">
        <f t="shared" si="15"/>
        <v>17264</v>
      </c>
      <c r="O18" s="183">
        <f t="shared" si="15"/>
        <v>1293</v>
      </c>
      <c r="P18" s="183">
        <f t="shared" si="15"/>
        <v>2278</v>
      </c>
      <c r="Q18" s="183">
        <f t="shared" si="15"/>
        <v>2065</v>
      </c>
      <c r="R18" s="183">
        <f t="shared" si="15"/>
        <v>4650</v>
      </c>
      <c r="S18" s="183">
        <f t="shared" si="15"/>
        <v>20642</v>
      </c>
      <c r="T18" s="183">
        <f t="shared" si="15"/>
        <v>33465</v>
      </c>
      <c r="U18" s="183">
        <f t="shared" si="15"/>
        <v>31505</v>
      </c>
      <c r="V18" s="183">
        <f t="shared" si="15"/>
        <v>23256</v>
      </c>
      <c r="W18" s="183">
        <f t="shared" si="15"/>
        <v>4586</v>
      </c>
      <c r="X18" s="183">
        <f t="shared" si="15"/>
        <v>17317</v>
      </c>
      <c r="Y18" s="183">
        <f t="shared" si="15"/>
        <v>0</v>
      </c>
      <c r="Z18" s="183">
        <f t="shared" si="15"/>
        <v>0</v>
      </c>
      <c r="AA18" s="183">
        <f t="shared" si="15"/>
        <v>0</v>
      </c>
      <c r="AB18" s="183">
        <f t="shared" si="15"/>
        <v>0</v>
      </c>
      <c r="AC18" s="183">
        <f t="shared" si="15"/>
        <v>146</v>
      </c>
      <c r="AD18" s="183">
        <f t="shared" si="15"/>
        <v>3389</v>
      </c>
      <c r="AE18" s="183">
        <f t="shared" si="15"/>
        <v>3249</v>
      </c>
      <c r="AF18" s="183">
        <f t="shared" si="15"/>
        <v>286</v>
      </c>
      <c r="AG18" s="183">
        <f t="shared" si="15"/>
        <v>0</v>
      </c>
      <c r="AH18" s="183">
        <f t="shared" si="15"/>
        <v>0</v>
      </c>
      <c r="AI18" s="183">
        <f t="shared" si="15"/>
        <v>0</v>
      </c>
      <c r="AJ18" s="183">
        <f t="shared" si="15"/>
        <v>0</v>
      </c>
      <c r="AK18" s="183">
        <f t="shared" si="15"/>
        <v>158</v>
      </c>
      <c r="AL18" s="183">
        <f t="shared" si="15"/>
        <v>3560</v>
      </c>
      <c r="AM18" s="183">
        <f t="shared" si="15"/>
        <v>3582</v>
      </c>
      <c r="AN18" s="183">
        <f t="shared" si="15"/>
        <v>136</v>
      </c>
      <c r="AO18" s="183">
        <f t="shared" si="15"/>
        <v>38</v>
      </c>
      <c r="AP18" s="183">
        <f t="shared" si="15"/>
        <v>38</v>
      </c>
      <c r="AQ18" s="183">
        <f t="shared" si="15"/>
        <v>38</v>
      </c>
      <c r="AR18" s="183">
        <f t="shared" si="15"/>
        <v>38</v>
      </c>
      <c r="AS18" s="183">
        <f t="shared" si="15"/>
        <v>0</v>
      </c>
      <c r="AT18" s="183">
        <f t="shared" si="15"/>
        <v>0</v>
      </c>
      <c r="AU18" s="203"/>
      <c r="AV18" s="132"/>
      <c r="AW18" s="203"/>
      <c r="AX18" s="132"/>
      <c r="AY18" s="183">
        <f>SUBTOTAL(9,AY14:AY17)</f>
        <v>20642</v>
      </c>
      <c r="AZ18" s="183">
        <f>SUBTOTAL(9,AZ14:AZ17)</f>
        <v>33465</v>
      </c>
      <c r="BA18" s="183">
        <f>SUBTOTAL(9,BA14:BA17)</f>
        <v>31505</v>
      </c>
      <c r="BB18" s="183">
        <f>SUBTOTAL(9,BB14:BB17)</f>
        <v>23256</v>
      </c>
      <c r="BC18" s="183">
        <f>SUBTOTAL(9,BC14:BC17)</f>
        <v>4586</v>
      </c>
      <c r="BD18" s="204">
        <f>IF(ISNUMBER(BA18/AZ18),BA18/AZ18," - ")</f>
        <v>0.94143134618257884</v>
      </c>
      <c r="BE18" s="205">
        <f>IF(ISNUMBER(BB18/BA18),BB18/BA18, " - ")</f>
        <v>0.73816854467544835</v>
      </c>
      <c r="BF18" s="205">
        <f>IF(ISNUMBER(BC18/BA18),BC18/BA18, " - ")</f>
        <v>0.1455641961593398</v>
      </c>
      <c r="BG18" s="206">
        <f>IF(ISNUMBER((AY18+AZ18)/BA18),(AY18+AZ18)/BA18," - ")</f>
        <v>1.7174099349309633</v>
      </c>
      <c r="BH18" s="183">
        <f>SUBTOTAL(9,BH14:BH17)</f>
        <v>38</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81640</v>
      </c>
      <c r="J19" s="134">
        <f t="shared" si="18"/>
        <v>51833</v>
      </c>
      <c r="K19" s="134">
        <f t="shared" si="18"/>
        <v>53374</v>
      </c>
      <c r="L19" s="134">
        <f t="shared" si="18"/>
        <v>80617</v>
      </c>
      <c r="M19" s="134">
        <f t="shared" si="18"/>
        <v>11539</v>
      </c>
      <c r="N19" s="134">
        <f t="shared" si="18"/>
        <v>27298</v>
      </c>
      <c r="O19" s="134">
        <f t="shared" si="18"/>
        <v>10101</v>
      </c>
      <c r="P19" s="134">
        <f t="shared" si="18"/>
        <v>12036</v>
      </c>
      <c r="Q19" s="134">
        <f t="shared" si="18"/>
        <v>10653</v>
      </c>
      <c r="R19" s="134">
        <f t="shared" si="18"/>
        <v>91222</v>
      </c>
      <c r="S19" s="134">
        <f t="shared" si="18"/>
        <v>75640</v>
      </c>
      <c r="T19" s="134">
        <f t="shared" si="18"/>
        <v>53682</v>
      </c>
      <c r="U19" s="134">
        <f t="shared" si="18"/>
        <v>49989</v>
      </c>
      <c r="V19" s="134">
        <f t="shared" si="18"/>
        <v>79988</v>
      </c>
      <c r="W19" s="134">
        <f t="shared" si="18"/>
        <v>10367</v>
      </c>
      <c r="X19" s="134">
        <f t="shared" si="18"/>
        <v>25901</v>
      </c>
      <c r="Y19" s="134">
        <f t="shared" si="18"/>
        <v>1121</v>
      </c>
      <c r="Z19" s="134">
        <f t="shared" si="18"/>
        <v>2466</v>
      </c>
      <c r="AA19" s="134">
        <f t="shared" si="18"/>
        <v>1917</v>
      </c>
      <c r="AB19" s="134">
        <f t="shared" si="18"/>
        <v>1677</v>
      </c>
      <c r="AC19" s="134">
        <f t="shared" si="18"/>
        <v>146</v>
      </c>
      <c r="AD19" s="134">
        <f t="shared" si="18"/>
        <v>3389</v>
      </c>
      <c r="AE19" s="134">
        <f t="shared" si="18"/>
        <v>3249</v>
      </c>
      <c r="AF19" s="134">
        <f t="shared" si="18"/>
        <v>286</v>
      </c>
      <c r="AG19" s="134">
        <f t="shared" si="18"/>
        <v>882</v>
      </c>
      <c r="AH19" s="134">
        <f t="shared" si="18"/>
        <v>1598</v>
      </c>
      <c r="AI19" s="134">
        <f t="shared" si="18"/>
        <v>1514</v>
      </c>
      <c r="AJ19" s="134">
        <f t="shared" si="18"/>
        <v>966</v>
      </c>
      <c r="AK19" s="134">
        <f t="shared" si="18"/>
        <v>158</v>
      </c>
      <c r="AL19" s="134">
        <f t="shared" si="18"/>
        <v>3560</v>
      </c>
      <c r="AM19" s="134">
        <f t="shared" si="18"/>
        <v>3582</v>
      </c>
      <c r="AN19" s="209">
        <f t="shared" si="18"/>
        <v>136</v>
      </c>
      <c r="AO19" s="210">
        <v>100</v>
      </c>
      <c r="AP19" s="210">
        <v>100</v>
      </c>
      <c r="AQ19" s="210">
        <v>100</v>
      </c>
      <c r="AR19" s="210">
        <v>100</v>
      </c>
      <c r="AS19" s="152">
        <f t="shared" si="18"/>
        <v>0</v>
      </c>
      <c r="AT19" s="152">
        <f t="shared" si="18"/>
        <v>0</v>
      </c>
      <c r="AU19" s="210"/>
      <c r="AV19" s="211"/>
      <c r="AW19" s="210"/>
      <c r="AX19" s="211"/>
      <c r="AY19" s="133">
        <f>SUBTOTAL(9,AY9:AY18)</f>
        <v>76522</v>
      </c>
      <c r="AZ19" s="134">
        <f>SUBTOTAL(9,AZ9:AZ18)</f>
        <v>55280</v>
      </c>
      <c r="BA19" s="134">
        <f>SUBTOTAL(9,BA9:BA18)</f>
        <v>51503</v>
      </c>
      <c r="BB19" s="134">
        <f>SUBTOTAL(9,BB9:BB18)</f>
        <v>80954</v>
      </c>
      <c r="BC19" s="135">
        <f>SUBTOTAL(9,BC9:BC18)</f>
        <v>13141</v>
      </c>
      <c r="BD19" s="212">
        <f>IF(ISNUMBER(BA19/AZ19),BA19/AZ19," - ")</f>
        <v>0.93167510853835023</v>
      </c>
      <c r="BE19" s="209">
        <f>IF(ISNUMBER(BB19/BA19),BB19/BA19, " - ")</f>
        <v>1.5718307671397782</v>
      </c>
      <c r="BF19" s="209">
        <f>IF(ISNUMBER(BC19/BA19),BC19/BA19, " - ")</f>
        <v>0.25515018542609169</v>
      </c>
      <c r="BG19" s="135">
        <f>IF(ISNUMBER((AY19+AZ19)/BA19),(AY19+AZ19)/BA19," - ")</f>
        <v>2.5591130613750654</v>
      </c>
      <c r="BH19" s="210">
        <f>SUBTOTAL(9,BH9:BH18)</f>
        <v>105</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h0dqJ3J4rPP+sRVKmkrNU/o/ZiarO+4NIudL+hQO7YEtXfzoIzMPoB9lXagn9lbx11P9p+pHnmHftckTvtU1Gg==" saltValue="SDchIzcrZ64ukNo5UkTr2Q=="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BARCELONA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8D8/WS+FYeslEd55h1to+pSn11x/FEGSZPjTVOE9MD1dwr0p5q82tzDuQjtbH0Jb5ASn0ZjQ9GJbT4RsJ+rn9w==" saltValue="6r60g9o7xF7Y9ZdZ+YeCEA=="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CATALUÑA</v>
      </c>
    </row>
    <row r="2" spans="1:78" ht="16.5" customHeight="1">
      <c r="C2" s="487" t="str">
        <f>Criterios!A10 &amp;"  "&amp;Criterios!B10 &amp; "  " &amp; IF(NOT(ISBLANK(Criterios!A11)),Criterios!A11 &amp;"  "&amp;Criterios!B11,"")</f>
        <v>Provincias  BARCELONA  Resumenes por Partidos Judiciales  BARCELONA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54</v>
      </c>
      <c r="B9" s="500" t="s">
        <v>246</v>
      </c>
      <c r="C9" s="159" t="str">
        <f>Datos!A9</f>
        <v xml:space="preserve">Jdos. 1ª Instancia   </v>
      </c>
      <c r="D9" s="501"/>
      <c r="E9" s="259">
        <f>IF(ISNUMBER(Datos!AQ9),Datos!AQ9," - ")</f>
        <v>54</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f>IF(ISNUMBER(Datos!Z9),Datos!Z9," - ")</f>
        <v>2360</v>
      </c>
      <c r="O9" s="333"/>
      <c r="P9" s="333"/>
      <c r="Q9" s="225">
        <f>IF(ISNUMBER(Datos!P9),Datos!P9,0)</f>
        <v>9522</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f>IF(ISNUMBER(Datos!Q9),Datos!Q9," - ")</f>
        <v>8244</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f>IF(ISNUMBER(Datos!AB9),Datos!AB9,"-")</f>
        <v>1521</v>
      </c>
      <c r="AI9" s="333" t="str">
        <f>IF(ISNUMBER(Datos!CD9),Datos!CD9,"-")</f>
        <v>-</v>
      </c>
      <c r="AJ9" s="333" t="str">
        <f>IF(ISNUMBER(Datos!EN9),Datos!EN9," - ")</f>
        <v xml:space="preserve"> - </v>
      </c>
      <c r="AK9" s="333"/>
      <c r="AL9" s="478"/>
      <c r="AM9" s="334">
        <f>IF(ISNUMBER(Datos!R9),Datos!R9," - ")</f>
        <v>83086</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f>IF(ISNUMBER(Datos!M9),Datos!M9," - ")</f>
        <v>5206</v>
      </c>
      <c r="BD9" s="228">
        <f>IF(ISNUMBER(Datos!N9),Datos!N9," - ")</f>
        <v>9488</v>
      </c>
      <c r="BE9" s="228" t="str">
        <f>IF(ISNUMBER(Datos!BW9),Datos!BW9," - ")</f>
        <v xml:space="preserve"> - </v>
      </c>
      <c r="BF9" s="227" t="str">
        <f>IF(ISNUMBER(Datos!BX9),Datos!BX9," - ")</f>
        <v xml:space="preserve"> - </v>
      </c>
      <c r="BG9" s="242">
        <f>IF(ISNUMBER(IF(J_V="SI",Datos!K9/Datos!J9,(Datos!K9+Datos!AA9)/(Datos!J9+Datos!Z9))),IF(J_V="SI",Datos!K9/Datos!J9,(Datos!K9+Datos!AA9)/(Datos!J9+Datos!Z9))," - ")</f>
        <v>1.2228703366144125</v>
      </c>
      <c r="BH9" s="259">
        <f>IF(ISNUMBER(((IF(J_V="SI",Datos!L9/Datos!K9,(Datos!L9+Datos!AB9)/(Datos!K9+Datos!AA9)))*11)/factor_trimestre),((IF(J_V="SI",Datos!L9/Datos!K9,(Datos!L9+Datos!AB9)/(Datos!K9+Datos!AA9)))*11)/factor_trimestre," - ")</f>
        <v>5.1983503925270798</v>
      </c>
      <c r="BI9" s="242"/>
      <c r="BJ9" s="229" t="str">
        <f>IF(ISNUMBER(Datos!CI9/Datos!CJ9),Datos!CI9/Datos!CJ9," - ")</f>
        <v xml:space="preserve"> - </v>
      </c>
      <c r="BK9" s="359" t="str">
        <f>IF(ISNUMBER(Datos!CJ9),Datos!CJ9," - ")</f>
        <v xml:space="preserve"> - </v>
      </c>
      <c r="BL9" s="229" t="str">
        <f>IF(ISNUMBER((J9-AB9+L9)/(F9)),(J9-AB9+L9)/(F9)," - ")</f>
        <v xml:space="preserve"> - </v>
      </c>
      <c r="BM9" s="610">
        <f>IF(ISNUMBER((Datos!P9-Datos!Q9+Datos!DE9)/(Datos!R9-Datos!P9+Datos!Q9-Datos!DE9)),(Datos!P9-Datos!Q9+Datos!DE9)/(Datos!R9-Datos!P9+Datos!Q9-Datos!DE9)," - ")</f>
        <v>1.5621944064150205E-2</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218.18181818181819</v>
      </c>
      <c r="BZ9" s="1185">
        <f>Datos!EZ9</f>
        <v>0</v>
      </c>
    </row>
    <row r="10" spans="1:78" ht="14.25">
      <c r="A10" s="500">
        <f>Datos!AO10</f>
        <v>5</v>
      </c>
      <c r="B10" s="506" t="s">
        <v>246</v>
      </c>
      <c r="C10" s="7" t="str">
        <f>Datos!A10</f>
        <v>Jdos. Violencia contra la mujer/Secc Viol. TI.</v>
      </c>
      <c r="D10" s="507"/>
      <c r="E10" s="259">
        <f>IF(ISNUMBER(Datos!AQ10),Datos!AQ10," - ")</f>
        <v>5</v>
      </c>
      <c r="F10" s="224">
        <f>IF(ISNUMBER(Datos!L10+Datos!K10-Datos!J10),Datos!L10+Datos!K10-Datos!J10," - ")</f>
        <v>483</v>
      </c>
      <c r="G10" s="332">
        <f>IF(ISNUMBER(Datos!I10),Datos!I10," - ")</f>
        <v>483</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29</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164</v>
      </c>
      <c r="AC10" s="225">
        <f>IF(ISNUMBER(Datos!Q10),Datos!Q10," - ")</f>
        <v>40</v>
      </c>
      <c r="AD10" s="333"/>
      <c r="AE10" s="483"/>
      <c r="AF10" s="331">
        <f>IF(ISNUMBER(Datos!L10),Datos!L10,"-")</f>
        <v>479</v>
      </c>
      <c r="AG10" s="333"/>
      <c r="AH10" s="333"/>
      <c r="AI10" s="333"/>
      <c r="AJ10" s="333"/>
      <c r="AK10" s="333"/>
      <c r="AL10" s="478"/>
      <c r="AM10" s="334">
        <f>IF(ISNUMBER(Datos!R10),Datos!R10," - ")</f>
        <v>587</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35</v>
      </c>
      <c r="BD10" s="228">
        <f>IF(ISNUMBER(Datos!N10),Datos!N10," - ")</f>
        <v>56</v>
      </c>
      <c r="BE10" s="228" t="str">
        <f>IF(ISNUMBER(Datos!BW10),Datos!BW10," - ")</f>
        <v xml:space="preserve"> - </v>
      </c>
      <c r="BF10" s="227" t="str">
        <f>IF(ISNUMBER(Datos!BX10),Datos!BX10," - ")</f>
        <v xml:space="preserve"> - </v>
      </c>
      <c r="BG10" s="242">
        <f>IF(ISNUMBER(Datos!K10/Datos!J10),Datos!K10/Datos!J10," - ")</f>
        <v>1.0249999999999999</v>
      </c>
      <c r="BH10" s="259">
        <f>IF(ISNUMBER(((Datos!L10/Datos!K10)*11)/factor_trimestre),((Datos!L10/Datos!K10)*11)/factor_trimestre," - ")</f>
        <v>5.8414634146341475</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-1.839464882943144E-2</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290.90909090909093</v>
      </c>
      <c r="BZ10" s="1185">
        <f>Datos!EZ10</f>
        <v>0</v>
      </c>
    </row>
    <row r="11" spans="1:78" ht="14.25">
      <c r="A11" s="500">
        <f>Datos!AO11</f>
        <v>8</v>
      </c>
      <c r="B11" s="506" t="s">
        <v>246</v>
      </c>
      <c r="C11" s="7" t="str">
        <f>Datos!A11</f>
        <v xml:space="preserve">Jdos. Familia                                   </v>
      </c>
      <c r="D11" s="507"/>
      <c r="E11" s="259">
        <f>IF(ISNUMBER(Datos!AQ11),Datos!AQ11," - ")</f>
        <v>8</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f>IF(ISNUMBER(Datos!Z11),Datos!Z11," - ")</f>
        <v>106</v>
      </c>
      <c r="O11" s="333"/>
      <c r="P11" s="333"/>
      <c r="Q11" s="225">
        <f>IF(ISNUMBER(Datos!P11),Datos!P11,0)</f>
        <v>207</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f>IF(ISNUMBER(Datos!Q11),Datos!Q11," - ")</f>
        <v>304</v>
      </c>
      <c r="AD11" s="333"/>
      <c r="AE11" s="483"/>
      <c r="AF11" s="331" t="str">
        <f>IF(ISNUMBER(IF(J_V="SI",Datos!L11,Datos!L11+Datos!AB11)-IF(Monitorios="SI",Datos!CD11,0)),
                          IF(J_V="SI",Datos!L11,Datos!L11+Datos!AB11)-IF(Monitorios="SI",Datos!CD11,0),
                          " - ")</f>
        <v xml:space="preserve"> - </v>
      </c>
      <c r="AG11" s="333"/>
      <c r="AH11" s="333">
        <f>IF(ISNUMBER(Datos!AB11),Datos!AB11,"-")</f>
        <v>156</v>
      </c>
      <c r="AI11" s="333"/>
      <c r="AJ11" s="333"/>
      <c r="AK11" s="333"/>
      <c r="AL11" s="478"/>
      <c r="AM11" s="334">
        <f>IF(ISNUMBER(Datos!R11),Datos!R11," - ")</f>
        <v>2899</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f>IF(ISNUMBER(Datos!M11),Datos!M11," - ")</f>
        <v>535</v>
      </c>
      <c r="BD11" s="228">
        <f>IF(ISNUMBER(Datos!N11),Datos!N11," - ")</f>
        <v>490</v>
      </c>
      <c r="BE11" s="228" t="str">
        <f>IF(ISNUMBER(Datos!BW11),Datos!BW11," - ")</f>
        <v xml:space="preserve"> - </v>
      </c>
      <c r="BF11" s="227" t="str">
        <f>IF(ISNUMBER(Datos!BX11),Datos!BX11," - ")</f>
        <v xml:space="preserve"> - </v>
      </c>
      <c r="BG11" s="242">
        <f>IF(ISNUMBER(IF(J_V="SI",Datos!K11/Datos!J11,(Datos!K11+Datos!AA11)/(Datos!J11+Datos!Z11))),IF(J_V="SI",Datos!K11/Datos!J11,(Datos!K11+Datos!AA11)/(Datos!J11+Datos!Z11))," - ")</f>
        <v>1.0126676602086437</v>
      </c>
      <c r="BH11" s="259">
        <f>IF(ISNUMBER(((IF(J_V="SI",Datos!L11/Datos!K11,(Datos!L11+Datos!AB11)/(Datos!K11+Datos!AA11)))*11)/factor_trimestre),((IF(J_V="SI",Datos!L11/Datos!K11,(Datos!L11+Datos!AB11)/(Datos!K11+Datos!AA11)))*11)/factor_trimestre," - ")</f>
        <v>4.2251655629139071</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f>IF(ISNUMBER((Datos!P11-Datos!Q11+Datos!DE11)/(Datos!R11-Datos!P11+Datos!Q11-Datos!DE11)),(Datos!P11-Datos!Q11+Datos!DE11)/(Datos!R11-Datos!P11+Datos!Q11-Datos!DE11)," - ")</f>
        <v>-3.2376502002670227E-2</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240.54545454545453</v>
      </c>
      <c r="BZ11" s="1185">
        <f>Datos!EZ11</f>
        <v>0</v>
      </c>
    </row>
    <row r="12" spans="1:78" ht="15" thickBot="1">
      <c r="A12" s="500">
        <f>Datos!AO12</f>
        <v>0</v>
      </c>
      <c r="B12" s="506" t="s">
        <v>246</v>
      </c>
      <c r="C12" s="7" t="str">
        <f>Datos!A12</f>
        <v xml:space="preserve">Jdos. 1ª Instª. e Instr./Secc. Civil y de Inst. TI                      </v>
      </c>
      <c r="D12" s="507"/>
      <c r="E12" s="259">
        <f>IF(ISNUMBER(Datos!AQ12),Datos!AQ12," - ")</f>
        <v>0</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t="str">
        <f>IF(ISNUMBER(Datos!Z12),Datos!Z12," - ")</f>
        <v xml:space="preserve"> - </v>
      </c>
      <c r="O12" s="333"/>
      <c r="P12" s="333"/>
      <c r="Q12" s="225">
        <f>IF(ISNUMBER(Datos!P12),Datos!P12,0)</f>
        <v>0</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t="str">
        <f>IF(ISNUMBER(Datos!Q12),Datos!Q12," - ")</f>
        <v xml:space="preserve"> - </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t="str">
        <f>IF(ISNUMBER(Datos!AB12),Datos!AB12,"-")</f>
        <v>-</v>
      </c>
      <c r="AI12" s="333" t="str">
        <f>IF(ISNUMBER(Datos!CD12),Datos!CD12,"-")</f>
        <v>-</v>
      </c>
      <c r="AJ12" s="333" t="str">
        <f>IF(ISNUMBER(Datos!EN12),Datos!EN12," - ")</f>
        <v xml:space="preserve"> - </v>
      </c>
      <c r="AK12" s="333"/>
      <c r="AL12" s="478"/>
      <c r="AM12" s="334" t="str">
        <f>IF(ISNUMBER(Datos!R12),Datos!R12," - ")</f>
        <v xml:space="preserve"> - </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t="str">
        <f>IF(ISNUMBER(Datos!M12),Datos!M12," - ")</f>
        <v xml:space="preserve"> - </v>
      </c>
      <c r="BD12" s="228" t="str">
        <f>IF(ISNUMBER(Datos!N12),Datos!N12," - ")</f>
        <v xml:space="preserve"> - </v>
      </c>
      <c r="BE12" s="228" t="str">
        <f>IF(ISNUMBER(Datos!BW12),Datos!BW12," - ")</f>
        <v xml:space="preserve"> - </v>
      </c>
      <c r="BF12" s="227" t="str">
        <f>IF(ISNUMBER(Datos!BX12),Datos!BX12," - ")</f>
        <v xml:space="preserve"> - </v>
      </c>
      <c r="BG12" s="242" t="str">
        <f>IF(ISNUMBER(IF(J_V="SI",Datos!K12/Datos!J12,(Datos!K12+Datos!AA12)/(Datos!J12+Datos!Z12))),IF(J_V="SI",Datos!K12/Datos!J12,(Datos!K12+Datos!AA12)/(Datos!J12+Datos!Z12))," - ")</f>
        <v xml:space="preserve"> - </v>
      </c>
      <c r="BH12" s="259" t="str">
        <f>IF(ISNUMBER(((IF(J_V="SI",Datos!L12/Datos!K12,(Datos!L12+Datos!AB12)/(Datos!K12+Datos!AA12)))*11)/factor_trimestre),((IF(J_V="SI",Datos!L12/Datos!K12,(Datos!L12+Datos!AB12)/(Datos!K12+Datos!AA12)))*11)/factor_trimestre," - ")</f>
        <v xml:space="preserve"> - </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t="str">
        <f>IF(ISNUMBER((Datos!P12-Datos!Q12+Datos!DE12)/(Datos!R12-Datos!P12+Datos!Q12-Datos!DE12)),(Datos!P12-Datos!Q12+Datos!DE12)/(Datos!R12-Datos!P12+Datos!Q12-Datos!DE12)," - ")</f>
        <v xml:space="preserve"> - </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123.63636363636364</v>
      </c>
      <c r="BZ12" s="1185">
        <f>Datos!EZ12</f>
        <v>0</v>
      </c>
    </row>
    <row r="13" spans="1:78" ht="15.75" thickTop="1" thickBot="1">
      <c r="A13" s="177"/>
      <c r="B13" s="177"/>
      <c r="C13" s="862" t="str">
        <f>Datos!A13</f>
        <v>TOTAL</v>
      </c>
      <c r="D13" s="896"/>
      <c r="E13" s="1163">
        <f t="shared" ref="E13:Z13" si="0">SUBTOTAL(9,E8:E12)</f>
        <v>67</v>
      </c>
      <c r="F13" s="897">
        <f t="shared" si="0"/>
        <v>483</v>
      </c>
      <c r="G13" s="897">
        <f t="shared" si="0"/>
        <v>483</v>
      </c>
      <c r="H13" s="898">
        <f t="shared" si="0"/>
        <v>0</v>
      </c>
      <c r="I13" s="897">
        <f t="shared" si="0"/>
        <v>0</v>
      </c>
      <c r="J13" s="866">
        <f t="shared" si="0"/>
        <v>0</v>
      </c>
      <c r="K13" s="866">
        <f t="shared" si="0"/>
        <v>0</v>
      </c>
      <c r="L13" s="898">
        <f t="shared" si="0"/>
        <v>0</v>
      </c>
      <c r="M13" s="898">
        <f t="shared" si="0"/>
        <v>0</v>
      </c>
      <c r="N13" s="898">
        <f t="shared" si="0"/>
        <v>2466</v>
      </c>
      <c r="O13" s="899">
        <f t="shared" si="0"/>
        <v>0</v>
      </c>
      <c r="P13" s="899">
        <f t="shared" si="0"/>
        <v>0</v>
      </c>
      <c r="Q13" s="898">
        <f t="shared" si="0"/>
        <v>9758</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164</v>
      </c>
      <c r="AC13" s="898">
        <f t="shared" si="1"/>
        <v>8588</v>
      </c>
      <c r="AD13" s="898">
        <f t="shared" si="1"/>
        <v>0</v>
      </c>
      <c r="AE13" s="898">
        <f t="shared" si="1"/>
        <v>0</v>
      </c>
      <c r="AF13" s="898">
        <f t="shared" si="1"/>
        <v>479</v>
      </c>
      <c r="AG13" s="898">
        <f t="shared" si="1"/>
        <v>0</v>
      </c>
      <c r="AH13" s="898">
        <f t="shared" si="1"/>
        <v>1677</v>
      </c>
      <c r="AI13" s="898">
        <f t="shared" si="1"/>
        <v>0</v>
      </c>
      <c r="AJ13" s="898">
        <f t="shared" si="1"/>
        <v>0</v>
      </c>
      <c r="AK13" s="898">
        <f t="shared" si="1"/>
        <v>0</v>
      </c>
      <c r="AL13" s="898">
        <f t="shared" si="1"/>
        <v>0</v>
      </c>
      <c r="AM13" s="898">
        <f t="shared" si="1"/>
        <v>86572</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5776</v>
      </c>
      <c r="BD13" s="898">
        <f t="shared" si="1"/>
        <v>10034</v>
      </c>
      <c r="BE13" s="898">
        <f t="shared" si="1"/>
        <v>0</v>
      </c>
      <c r="BF13" s="898">
        <f t="shared" si="1"/>
        <v>0</v>
      </c>
      <c r="BG13" s="898">
        <f>IF(ISNUMBER(Datos!K13/Datos!J13),Datos!K13/Datos!J13," - ")</f>
        <v>1.2735252355750613</v>
      </c>
      <c r="BH13" s="902">
        <f>IF(ISNUMBER(((Datos!L13/Datos!K13)*11)/factor_trimestre),((Datos!L13/Datos!K13)*11)/factor_trimestre," - ")</f>
        <v>5.471721062233935</v>
      </c>
      <c r="BI13" s="898">
        <f>IF(ISNUMBER('Resol  Asuntos'!D13/NºAsuntos!G13),'Resol  Asuntos'!D13/NºAsuntos!G13," - ")</f>
        <v>0.26680216176266802</v>
      </c>
      <c r="BJ13" s="898" t="str">
        <f>IF(ISNUMBER(Datos!CI13/Datos!CJ13),Datos!CI13/Datos!CJ13," - ")</f>
        <v xml:space="preserve"> - </v>
      </c>
      <c r="BK13" s="898">
        <f>SUBTOTAL(9,BK8:BK12)</f>
        <v>0</v>
      </c>
      <c r="BL13" s="898">
        <f>IF(ISNUMBER((I13-AB13+L13)/(F13)),(I13-AB13+L13)/(F13)," - ")</f>
        <v>-0.33954451345755693</v>
      </c>
      <c r="BM13" s="903">
        <f>SUBTOTAL(9,BM9:BM12)</f>
        <v>-3.5149206767951462E-2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873.27272727272725</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33</v>
      </c>
      <c r="B15" s="593" t="s">
        <v>396</v>
      </c>
      <c r="C15" s="599" t="str">
        <f>Datos!A15</f>
        <v xml:space="preserve">Jdos. Instrucción                               </v>
      </c>
      <c r="D15" s="600"/>
      <c r="E15" s="1164">
        <f>IF(ISNUMBER(Datos!AQ15),Datos!AQ15," - ")</f>
        <v>33</v>
      </c>
      <c r="F15" s="594">
        <f>IF(ISNUMBER(AF15+AB15-Datos!J15-L15),AF15+AB15-Datos!J15-L15," - ")</f>
        <v>22336</v>
      </c>
      <c r="G15" s="597">
        <f>IF(ISNUMBER(IF(D_I="SI",Datos!I15,Datos!I15+Datos!AC15)),IF(D_I="SI",Datos!I15,Datos!I15+Datos!AC15)," - ")</f>
        <v>22006</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2268</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f>IF(ISNUMBER(IF(D_I="SI",Datos!K15,Datos!K15+Datos!AE15)),IF(D_I="SI",Datos!K15,Datos!K15+Datos!AE15)," - ")</f>
        <v>31958</v>
      </c>
      <c r="AC15" s="225">
        <f>IF(ISNUMBER(Datos!Q15),Datos!Q15," - ")</f>
        <v>2063</v>
      </c>
      <c r="AD15" s="333"/>
      <c r="AE15" s="483"/>
      <c r="AF15" s="595">
        <f>IF(ISNUMBER(IF(D_I="SI",Datos!L15,Datos!L15+Datos!AF15)),IF(D_I="SI",Datos!L15,Datos!L15+Datos!AF15)," - ")</f>
        <v>24846</v>
      </c>
      <c r="AG15" s="333"/>
      <c r="AH15" s="333"/>
      <c r="AI15" s="333"/>
      <c r="AJ15" s="333"/>
      <c r="AK15" s="333"/>
      <c r="AL15" s="478"/>
      <c r="AM15" s="334">
        <f>IF(ISNUMBER(Datos!R15),Datos!R15," - ")</f>
        <v>4633</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f>IF(ISNUMBER(Datos!M15),Datos!M15," - ")</f>
        <v>5723</v>
      </c>
      <c r="BD15" s="228">
        <f>IF(ISNUMBER(Datos!N15),Datos!N15," - ")</f>
        <v>16360</v>
      </c>
      <c r="BE15" s="228" t="str">
        <f>IF(ISNUMBER(Datos!BW15),Datos!BW15," - ")</f>
        <v xml:space="preserve"> - </v>
      </c>
      <c r="BF15" s="227" t="str">
        <f>IF(ISNUMBER(Datos!BX15),Datos!BX15," - ")</f>
        <v xml:space="preserve"> - </v>
      </c>
      <c r="BG15" s="242">
        <f>IF(ISNUMBER(IF(D_I="SI",Datos!K15/Datos!J15,(Datos!K15+Datos!AE15)/(Datos!J15+Datos!AD15))),IF(D_I="SI",Datos!K15/Datos!J15,(Datos!K15+Datos!AE15)/(Datos!J15+Datos!AD15))," - ")</f>
        <v>0.92717883254032729</v>
      </c>
      <c r="BH15" s="259">
        <f>IF(ISNUMBER(((IF(D_I="SI",Datos!L15/Datos!K15,(Datos!L15+Datos!AF15)/(Datos!K15+Datos!AE15)))*11)/factor_trimestre),((IF(D_I="SI",Datos!L15/Datos!K15,(Datos!L15+Datos!AF15)/(Datos!K15+Datos!AE15)))*11)/factor_trimestre," - ")</f>
        <v>1.5549158270229677</v>
      </c>
      <c r="BI15" s="242">
        <f>IF(ISNUMBER('Resol  Asuntos'!D15/NºAsuntos!G15),'Resol  Asuntos'!D15/NºAsuntos!G15," - ")</f>
        <v>0.17907879091307341</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600</v>
      </c>
      <c r="BZ15" s="1185">
        <f>Datos!EZ15</f>
        <v>0</v>
      </c>
    </row>
    <row r="16" spans="1:78" s="598" customFormat="1" ht="14.25">
      <c r="A16" s="592">
        <f>Datos!AO16</f>
        <v>0</v>
      </c>
      <c r="B16" s="593" t="s">
        <v>396</v>
      </c>
      <c r="C16" s="599" t="str">
        <f>Datos!A16</f>
        <v xml:space="preserve">Jdos. 1ª Instª. e Instr./Secc. Civil y de Inst. TI                      </v>
      </c>
      <c r="D16" s="600"/>
      <c r="E16" s="1164">
        <f>IF(ISNUMBER(Datos!AQ16),Datos!AQ16," - ")</f>
        <v>0</v>
      </c>
      <c r="F16" s="594" t="str">
        <f>IF(ISNUMBER(AF16+AB16-Datos!J16-L16),AF16+AB16-Datos!J16-L16," - ")</f>
        <v xml:space="preserve"> - </v>
      </c>
      <c r="G16" s="597" t="str">
        <f>IF(ISNUMBER(IF(D_I="SI",Datos!I16,Datos!I16+Datos!AC16)),IF(D_I="SI",Datos!I16,Datos!I16+Datos!AC16)," - ")</f>
        <v xml:space="preserve"> - </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0</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t="str">
        <f>IF(ISNUMBER(IF(D_I="SI",Datos!K16,Datos!K16+Datos!AE16)),IF(D_I="SI",Datos!K16,Datos!K16+Datos!AE16)," - ")</f>
        <v xml:space="preserve"> - </v>
      </c>
      <c r="AC16" s="225" t="str">
        <f>IF(ISNUMBER(Datos!Q16),Datos!Q16," - ")</f>
        <v xml:space="preserve"> - </v>
      </c>
      <c r="AD16" s="333"/>
      <c r="AE16" s="483"/>
      <c r="AF16" s="595" t="str">
        <f>IF(ISNUMBER(IF(D_I="SI",Datos!L16,Datos!L16+Datos!AF16)),IF(D_I="SI",Datos!L16,Datos!L16+Datos!AF16)," - ")</f>
        <v xml:space="preserve"> - </v>
      </c>
      <c r="AG16" s="333"/>
      <c r="AH16" s="333"/>
      <c r="AI16" s="333"/>
      <c r="AJ16" s="333"/>
      <c r="AK16" s="333"/>
      <c r="AL16" s="478"/>
      <c r="AM16" s="334" t="str">
        <f>IF(ISNUMBER(Datos!R16),Datos!R16," - ")</f>
        <v xml:space="preserve"> - </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t="str">
        <f>IF(ISNUMBER(Datos!M16),Datos!M16," - ")</f>
        <v xml:space="preserve"> - </v>
      </c>
      <c r="BD16" s="228" t="str">
        <f>IF(ISNUMBER(Datos!N16),Datos!N16," - ")</f>
        <v xml:space="preserve"> - </v>
      </c>
      <c r="BE16" s="228" t="str">
        <f>IF(ISNUMBER(Datos!BW16),Datos!BW16," - ")</f>
        <v xml:space="preserve"> - </v>
      </c>
      <c r="BF16" s="227" t="str">
        <f>IF(ISNUMBER(Datos!BX16),Datos!BX16," - ")</f>
        <v xml:space="preserve"> - </v>
      </c>
      <c r="BG16" s="242" t="str">
        <f>IF(ISNUMBER(IF(D_I="SI",Datos!K16/Datos!J16,(Datos!K16+Datos!AE16)/(Datos!J16+Datos!AD16))),IF(D_I="SI",Datos!K16/Datos!J16,(Datos!K16+Datos!AE16)/(Datos!J16+Datos!AD16))," - ")</f>
        <v xml:space="preserve"> - </v>
      </c>
      <c r="BH16" s="259" t="str">
        <f>IF(ISNUMBER(((IF(D_I="SI",Datos!L16/Datos!K16,(Datos!L16+Datos!AF16)/(Datos!K16+Datos!AE16)))*11)/factor_trimestre),((IF(D_I="SI",Datos!L16/Datos!K16,(Datos!L16+Datos!AF16)/(Datos!K16+Datos!AE16)))*11)/factor_trimestre," - ")</f>
        <v xml:space="preserve"> - </v>
      </c>
      <c r="BI16" s="242" t="str">
        <f>IF(ISNUMBER('Resol  Asuntos'!D16/NºAsuntos!G16),'Resol  Asuntos'!D16/NºAsuntos!G16," - ")</f>
        <v xml:space="preserve"> - </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181.81818181818181</v>
      </c>
      <c r="BZ16" s="1185">
        <f>Datos!EZ16</f>
        <v>0</v>
      </c>
    </row>
    <row r="17" spans="1:78" ht="15" thickBot="1">
      <c r="A17" s="500">
        <f>Datos!AO17</f>
        <v>5</v>
      </c>
      <c r="B17" s="506" t="s">
        <v>396</v>
      </c>
      <c r="C17" s="7" t="str">
        <f>Datos!A17</f>
        <v>Jdos. Violencia contra la mujer/Secc Viol. TI.</v>
      </c>
      <c r="D17" s="507"/>
      <c r="E17" s="1024">
        <f>IF(ISNUMBER(Datos!AQ17),Datos!AQ17," - ")</f>
        <v>5</v>
      </c>
      <c r="F17" s="224" t="str">
        <f>IF(ISNUMBER(AF17+AB17-I17-L17),AF17+AB17-I17-L17," - ")</f>
        <v xml:space="preserve"> - </v>
      </c>
      <c r="G17" s="332">
        <f>IF(ISNUMBER(IF(D_I="SI",Datos!I17,Datos!I17+Datos!AC17)),IF(D_I="SI",Datos!I17,Datos!I17+Datos!AC17)," - ")</f>
        <v>1583</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10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1684</v>
      </c>
      <c r="AC17" s="225">
        <f>IF(ISNUMBER(Datos!Q17),Datos!Q17," - ")</f>
        <v>2</v>
      </c>
      <c r="AD17" s="333"/>
      <c r="AE17" s="483"/>
      <c r="AF17" s="331">
        <f>IF(ISNUMBER(Datos!L17),Datos!L17,"-")</f>
        <v>1787</v>
      </c>
      <c r="AG17" s="333"/>
      <c r="AH17" s="333"/>
      <c r="AI17" s="333"/>
      <c r="AJ17" s="333"/>
      <c r="AK17" s="333"/>
      <c r="AL17" s="478"/>
      <c r="AM17" s="334">
        <f>IF(ISNUMBER(Datos!R17),Datos!R17," - ")</f>
        <v>17</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40</v>
      </c>
      <c r="BD17" s="228">
        <f>IF(ISNUMBER(Datos!N17),Datos!N17," - ")</f>
        <v>904</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0.900053447354356</v>
      </c>
      <c r="BH17" s="259">
        <f>IF(ISNUMBER(((IF(D_I="SI",Datos!L17/Datos!K17,(Datos!L17+Datos!AF17)/(Datos!K17+Datos!AE17)))*11)/factor_trimestre),((IF(D_I="SI",Datos!L17/Datos!K17,(Datos!L17+Datos!AF17)/(Datos!K17+Datos!AE17)))*11)/factor_trimestre," - ")</f>
        <v>2.1223277909738716</v>
      </c>
      <c r="BI17" s="242">
        <f>IF(ISNUMBER('Resol  Asuntos'!D17/NºAsuntos!G17),'Resol  Asuntos'!D17/NºAsuntos!G17," - ")</f>
        <v>2.3752969121140142E-2</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290.90909090909093</v>
      </c>
      <c r="BZ17" s="1185">
        <f>Datos!EZ17</f>
        <v>0</v>
      </c>
    </row>
    <row r="18" spans="1:78" ht="15.75" thickTop="1" thickBot="1">
      <c r="A18" s="177"/>
      <c r="B18" s="177"/>
      <c r="C18" s="862" t="str">
        <f>Datos!A18</f>
        <v>TOTAL</v>
      </c>
      <c r="D18" s="896"/>
      <c r="E18" s="1163">
        <f>SUBTOTAL(9,E15:E17)</f>
        <v>38</v>
      </c>
      <c r="F18" s="897">
        <f>SUBTOTAL(9,F15:F17)</f>
        <v>22336</v>
      </c>
      <c r="G18" s="897">
        <f>SUBTOTAL(9,G15:G17)</f>
        <v>23589</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2278</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33642</v>
      </c>
      <c r="AC18" s="898">
        <f t="shared" si="4"/>
        <v>2065</v>
      </c>
      <c r="AD18" s="898">
        <f t="shared" si="4"/>
        <v>0</v>
      </c>
      <c r="AE18" s="898">
        <f t="shared" si="4"/>
        <v>0</v>
      </c>
      <c r="AF18" s="898">
        <f t="shared" si="4"/>
        <v>26633</v>
      </c>
      <c r="AG18" s="898">
        <f t="shared" si="4"/>
        <v>0</v>
      </c>
      <c r="AH18" s="898">
        <f t="shared" si="4"/>
        <v>0</v>
      </c>
      <c r="AI18" s="898">
        <f t="shared" si="4"/>
        <v>0</v>
      </c>
      <c r="AJ18" s="898">
        <f t="shared" si="4"/>
        <v>0</v>
      </c>
      <c r="AK18" s="898">
        <f t="shared" si="4"/>
        <v>0</v>
      </c>
      <c r="AL18" s="898">
        <f t="shared" si="4"/>
        <v>0</v>
      </c>
      <c r="AM18" s="898">
        <f t="shared" si="4"/>
        <v>4650</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5763</v>
      </c>
      <c r="BD18" s="898">
        <f t="shared" si="4"/>
        <v>17264</v>
      </c>
      <c r="BE18" s="898">
        <f t="shared" si="4"/>
        <v>0</v>
      </c>
      <c r="BF18" s="898">
        <f t="shared" si="4"/>
        <v>0</v>
      </c>
      <c r="BG18" s="898">
        <f>IF(ISNUMBER(Datos!K18/Datos!J18),Datos!K18/Datos!J18," - ")</f>
        <v>0.92578221745232392</v>
      </c>
      <c r="BH18" s="902">
        <f>IF(ISNUMBER(((Datos!L18/Datos!K18)*11)/factor_trimestre),((Datos!L18/Datos!K18)*11)/factor_trimestre," - ")</f>
        <v>1.5833184709589203</v>
      </c>
      <c r="BI18" s="898">
        <f>SUBTOTAL(9,BI15:BI17)</f>
        <v>0.20283176003421355</v>
      </c>
      <c r="BJ18" s="898">
        <f>SUBTOTAL(9,BJ15:BJ17)</f>
        <v>0</v>
      </c>
      <c r="BK18" s="898">
        <f>SUBTOTAL(9,BK15:BK17)</f>
        <v>0</v>
      </c>
      <c r="BL18" s="898">
        <f>IF(ISNUMBER((I18-AB18+L18)/(F18)),(I18-AB18+L18)/(F18)," - ")</f>
        <v>-1.5061783667621778</v>
      </c>
      <c r="BM18" s="904">
        <f>IF(ISNUMBER((Datos!P18-Datos!Q18)/(Datos!R18-Datos!P18+Datos!Q18)),(Datos!P18-Datos!Q18)/(Datos!R18-Datos!P18+Datos!Q18)," - ")</f>
        <v>4.8005409060175794E-2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1072.7272727272727</v>
      </c>
      <c r="BZ18" s="1185"/>
    </row>
    <row r="19" spans="1:78" ht="18.75" customHeight="1" thickTop="1" thickBot="1">
      <c r="A19" s="171"/>
      <c r="B19" s="171"/>
      <c r="C19" s="817" t="str">
        <f>Datos!A19</f>
        <v>TOTAL JURISDICCIONES</v>
      </c>
      <c r="D19" s="817"/>
      <c r="E19" s="1165">
        <f t="shared" ref="E19:R19" si="6">SUBTOTAL(9,E9:E18)</f>
        <v>105</v>
      </c>
      <c r="F19" s="819">
        <f t="shared" si="6"/>
        <v>22819</v>
      </c>
      <c r="G19" s="819">
        <f t="shared" si="6"/>
        <v>24072</v>
      </c>
      <c r="H19" s="821">
        <f t="shared" si="6"/>
        <v>0</v>
      </c>
      <c r="I19" s="819">
        <f t="shared" si="6"/>
        <v>0</v>
      </c>
      <c r="J19" s="821">
        <f t="shared" si="6"/>
        <v>0</v>
      </c>
      <c r="K19" s="821">
        <f t="shared" si="6"/>
        <v>0</v>
      </c>
      <c r="L19" s="880">
        <f t="shared" si="6"/>
        <v>0</v>
      </c>
      <c r="M19" s="880">
        <f t="shared" si="6"/>
        <v>0</v>
      </c>
      <c r="N19" s="880">
        <f t="shared" si="6"/>
        <v>2466</v>
      </c>
      <c r="O19" s="880">
        <f t="shared" si="6"/>
        <v>0</v>
      </c>
      <c r="P19" s="880">
        <f t="shared" si="6"/>
        <v>0</v>
      </c>
      <c r="Q19" s="821">
        <f t="shared" si="6"/>
        <v>12036</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33806</v>
      </c>
      <c r="AC19" s="820">
        <f t="shared" si="7"/>
        <v>10653</v>
      </c>
      <c r="AD19" s="820">
        <f t="shared" si="7"/>
        <v>0</v>
      </c>
      <c r="AE19" s="820">
        <f t="shared" si="7"/>
        <v>0</v>
      </c>
      <c r="AF19" s="827">
        <f t="shared" si="7"/>
        <v>27112</v>
      </c>
      <c r="AG19" s="827">
        <f t="shared" si="7"/>
        <v>0</v>
      </c>
      <c r="AH19" s="827">
        <f t="shared" si="7"/>
        <v>1677</v>
      </c>
      <c r="AI19" s="827">
        <f t="shared" si="7"/>
        <v>0</v>
      </c>
      <c r="AJ19" s="820">
        <f t="shared" si="7"/>
        <v>0</v>
      </c>
      <c r="AK19" s="827">
        <f t="shared" si="7"/>
        <v>0</v>
      </c>
      <c r="AL19" s="827">
        <f t="shared" si="7"/>
        <v>0</v>
      </c>
      <c r="AM19" s="827">
        <f t="shared" si="7"/>
        <v>91222</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11539</v>
      </c>
      <c r="BD19" s="819">
        <f t="shared" si="7"/>
        <v>27298</v>
      </c>
      <c r="BE19" s="819">
        <f t="shared" si="7"/>
        <v>0</v>
      </c>
      <c r="BF19" s="829">
        <f t="shared" si="7"/>
        <v>0</v>
      </c>
      <c r="BG19" s="914">
        <f>IF(ISNUMBER(Datos!K19/Datos!J19),Datos!K19/Datos!J19," - ")</f>
        <v>1.0297300947272974</v>
      </c>
      <c r="BH19" s="914">
        <f>IF(ISNUMBER(((Datos!L19/Datos!K19)*11)/factor_trimestre),((Datos!L19/Datos!K19)*11)/factor_trimestre," - ")</f>
        <v>3.0208341139880841</v>
      </c>
      <c r="BI19" s="812">
        <f>IF(ISNUMBER(Datos!J19/Datos!I19),Datos!J19/Datos!I19," - ")</f>
        <v>0.63489710926016663</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-1.481484727639248</v>
      </c>
      <c r="BM19" s="888">
        <f>IF(ISNUMBER((Datos!P19-Datos!Q19+R19)/(Datos!R19-Datos!P19+Datos!Q19-R19)),(Datos!P19-Datos!Q19+R19)/(Datos!R19-Datos!P19+Datos!Q19-R19)," - ")</f>
        <v>1.539420518928305E-2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1946</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9628.7999999999993</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25.37715508089904</v>
      </c>
      <c r="F21" s="550">
        <f>IF(ISNUMBER(STDEV(F8:F18)),STDEV(F8:F18),"-")</f>
        <v>12616.835432600892</v>
      </c>
      <c r="G21" s="551">
        <f>IF(ISNUMBER(STDEV(G8:G18)),STDEV(G8:G18),"-")</f>
        <v>12042.72058963422</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17618.960434713506</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2904.9868289185883</v>
      </c>
      <c r="BD21" s="550"/>
      <c r="BE21" s="550">
        <f>IF(ISNUMBER(STDEV(BE8:BE18)),STDEV(BE8:BE18),"-")</f>
        <v>0</v>
      </c>
      <c r="BF21" s="555">
        <f>IF(ISNUMBER(STDEV(BF8:BF18)),STDEV(BF8:BF18),"-")</f>
        <v>0</v>
      </c>
      <c r="BG21" s="774">
        <f>IF(ISNUMBER(STDEV(BG8:BG18)),STDEV(BG8:BG18),"-")</f>
        <v>0.1496105229221191</v>
      </c>
      <c r="BH21" s="775">
        <f>IF(ISNUMBER(STDEV(BH8:BH18)),STDEV(BH8:BH18),"-")</f>
        <v>1.9067921937649817</v>
      </c>
      <c r="BI21" s="248">
        <f>IF(ISNUMBER(STDEV(BI8:BI18)),STDEV(BI8:BI18),"-")</f>
        <v>0.1031261524972009</v>
      </c>
      <c r="BJ21" s="229" t="str">
        <f>IF(ISNUMBER(BL21/BM21),BL21/BM21," - ")</f>
        <v xml:space="preserve"> - </v>
      </c>
      <c r="BK21" s="574"/>
      <c r="BL21" s="558">
        <f>IF(ISNUMBER(STDEV(BL8:BL18)),STDEV(BL8:BL18),"-")</f>
        <v>0.82493470883348896</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337.88694513865602</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09 dic. 2025</v>
      </c>
    </row>
    <row r="32" spans="1:78">
      <c r="C32" s="526"/>
      <c r="D32" s="526"/>
    </row>
  </sheetData>
  <sheetProtection algorithmName="SHA-512" hashValue="LF6ntv8Kj0zjK8SqrGBXe/sZ1R8hr4tuM6j/3l47brijFbnBE3nzMoTHKZSnhnsOiJDlwTk2HJBl8Fl87/nS/Q==" saltValue="jETsfI5Mn8VUqep8G5MFr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CATALUÑA</v>
      </c>
    </row>
    <row r="2" spans="1:78" ht="16.5" customHeight="1">
      <c r="C2" s="527" t="str">
        <f>Criterios!A10 &amp;"  "&amp;Criterios!B10 &amp; "  " &amp; IF(NOT(ISBLANK(Criterios!A11)),Criterios!A11 &amp;"  "&amp;Criterios!B11,"")</f>
        <v>Provincias  BARCELONA  Resumenes por Partidos Judiciales  BARCELONA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3 al 3</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54</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9522</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f>IF(ISNUMBER(Datos!Q9),Datos!Q9," - ")</f>
        <v>8244</v>
      </c>
      <c r="AA9" s="331" t="str">
        <f>IF(ISNUMBER(IF(J_V="SI",Datos!L9,Datos!L9+Datos!AB9)-IF(Monitorios="SI",Datos!CD9,0)),
                          IF(J_V="SI",Datos!L9,Datos!L9+Datos!AB9)-IF(Monitorios="SI",Datos!CD9,0),
                          " - ")</f>
        <v xml:space="preserve"> - </v>
      </c>
      <c r="AB9" s="333"/>
      <c r="AC9" s="333"/>
      <c r="AD9" s="483"/>
      <c r="AE9" s="483">
        <f>IF(ISNUMBER(Datos!R9),Datos!R9," - ")</f>
        <v>83086</v>
      </c>
      <c r="AF9" s="228" t="str">
        <f>IF(ISNUMBER(Datos!BV9),Datos!BV9," - ")</f>
        <v xml:space="preserve"> - </v>
      </c>
      <c r="AG9" s="224" t="str">
        <f>IF(ISNUMBER(Datos!DV9),Datos!DV9," - ")</f>
        <v xml:space="preserve"> - </v>
      </c>
      <c r="AH9" s="297"/>
      <c r="AI9" s="226"/>
      <c r="AJ9" s="224">
        <f>IF(ISNUMBER(Datos!M9),Datos!M9," - ")</f>
        <v>5206</v>
      </c>
      <c r="AK9" s="228">
        <f>IF(ISNUMBER(Datos!N9),Datos!N9," - ")</f>
        <v>9488</v>
      </c>
      <c r="AL9" s="228" t="str">
        <f>IF(ISNUMBER(Datos!BW9),Datos!BW9," - ")</f>
        <v xml:space="preserve"> - </v>
      </c>
      <c r="AM9" s="227" t="str">
        <f>IF(ISNUMBER(Datos!BX9),Datos!BX9," - ")</f>
        <v xml:space="preserve"> - </v>
      </c>
      <c r="AN9" s="242"/>
      <c r="AO9" s="259">
        <f>IF(ISNUMBER(((NºAsuntos!I9/NºAsuntos!G9)*11)/factor_trimestre),((NºAsuntos!I9/NºAsuntos!G9)*11)/factor_trimestre," - ")</f>
        <v>5.1983503925270798</v>
      </c>
      <c r="AP9" s="229" t="str">
        <f>IF(ISNUMBER(Datos!CI9/Datos!CJ9),Datos!CI9/Datos!CJ9," - ")</f>
        <v xml:space="preserve"> - </v>
      </c>
      <c r="AQ9" s="229" t="str">
        <f>IF(ISNUMBER((J9-Y9+K9)/(F9)),(J9-Y9+K9)/(F9)," - ")</f>
        <v xml:space="preserve"> - </v>
      </c>
      <c r="AR9" s="229">
        <f>IF(ISNUMBER((Datos!P9-Datos!Q9+Datos!DE9)/(Datos!R9-Datos!P9+Datos!Q9-Datos!DE9)),(Datos!P9-Datos!Q9+Datos!DE9)/(Datos!R9-Datos!P9+Datos!Q9-Datos!DE9)," - ")</f>
        <v>1.5621944064150205E-2</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218.18181818181819</v>
      </c>
      <c r="BZ9" s="1185">
        <f>Datos!EZ9</f>
        <v>0</v>
      </c>
    </row>
    <row r="10" spans="1:78" ht="14.25">
      <c r="A10" s="500">
        <f>Datos!AO10</f>
        <v>5</v>
      </c>
      <c r="B10" s="506" t="s">
        <v>246</v>
      </c>
      <c r="C10" s="7" t="str">
        <f>Datos!A10</f>
        <v>Jdos. Violencia contra la mujer/Secc Viol. TI.</v>
      </c>
      <c r="D10" s="507"/>
      <c r="E10" s="1167">
        <f>IF(ISNUMBER(Datos!AQ10),Datos!AQ10," - ")</f>
        <v>5</v>
      </c>
      <c r="F10" s="224">
        <f>IF(ISNUMBER(Datos!L10+Datos!K10-Datos!J10),Datos!L10+Datos!K10-Datos!J10," - ")</f>
        <v>483</v>
      </c>
      <c r="G10" s="224">
        <f>IF(ISNUMBER(Datos!I10),Datos!I10," - ")</f>
        <v>483</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29</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164</v>
      </c>
      <c r="Z10" s="618">
        <f>IF(ISNUMBER(Datos!Q10),Datos!Q10," - ")</f>
        <v>40</v>
      </c>
      <c r="AA10" s="331">
        <f>IF(ISNUMBER(Datos!L10),Datos!L10,"-")</f>
        <v>479</v>
      </c>
      <c r="AB10" s="333"/>
      <c r="AC10" s="333"/>
      <c r="AD10" s="483"/>
      <c r="AE10" s="483">
        <f>IF(ISNUMBER(Datos!R10),Datos!R10," - ")</f>
        <v>587</v>
      </c>
      <c r="AF10" s="228" t="str">
        <f>IF(ISNUMBER(Datos!BV10),Datos!BV10," - ")</f>
        <v xml:space="preserve"> - </v>
      </c>
      <c r="AG10" s="224" t="str">
        <f>IF(ISNUMBER(Datos!DV10),Datos!DV10," - ")</f>
        <v xml:space="preserve"> - </v>
      </c>
      <c r="AH10" s="297"/>
      <c r="AI10" s="226"/>
      <c r="AJ10" s="224">
        <f>IF(ISNUMBER(Datos!M10),Datos!M10," - ")</f>
        <v>35</v>
      </c>
      <c r="AK10" s="228">
        <f>IF(ISNUMBER(Datos!N10),Datos!N10," - ")</f>
        <v>56</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5.8414634146341475</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-1.839464882943144E-2</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290.90909090909093</v>
      </c>
      <c r="BZ10" s="1185">
        <f>Datos!EZ10</f>
        <v>0</v>
      </c>
    </row>
    <row r="11" spans="1:78" ht="14.25">
      <c r="A11" s="500">
        <f>Datos!AO11</f>
        <v>8</v>
      </c>
      <c r="B11" s="506" t="s">
        <v>246</v>
      </c>
      <c r="C11" s="7" t="str">
        <f>Datos!A11</f>
        <v xml:space="preserve">Jdos. Familia                                   </v>
      </c>
      <c r="D11" s="507"/>
      <c r="E11" s="1167">
        <f>IF(ISNUMBER(Datos!AQ11),Datos!AQ11," - ")</f>
        <v>8</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207</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f>IF(ISNUMBER(Datos!Q11),Datos!Q11," - ")</f>
        <v>304</v>
      </c>
      <c r="AA11" s="331" t="str">
        <f>IF(ISNUMBER(IF(J_V="SI",Datos!L11,Datos!L11+Datos!AB11)-IF(Monitorios="SI",Datos!CD11,0)),
                          IF(J_V="SI",Datos!L11,Datos!L11+Datos!AB11)-IF(Monitorios="SI",Datos!CD11,0),
                          " - ")</f>
        <v xml:space="preserve"> - </v>
      </c>
      <c r="AB11" s="333"/>
      <c r="AC11" s="333"/>
      <c r="AD11" s="483"/>
      <c r="AE11" s="483">
        <f>IF(ISNUMBER(Datos!R11),Datos!R11," - ")</f>
        <v>2899</v>
      </c>
      <c r="AF11" s="228" t="str">
        <f>IF(ISNUMBER(Datos!BV11),Datos!BV11," - ")</f>
        <v xml:space="preserve"> - </v>
      </c>
      <c r="AG11" s="224" t="str">
        <f>IF(ISNUMBER(Datos!DV11),Datos!DV11," - ")</f>
        <v xml:space="preserve"> - </v>
      </c>
      <c r="AH11" s="297"/>
      <c r="AI11" s="226"/>
      <c r="AJ11" s="224">
        <f>IF(ISNUMBER(Datos!M11),Datos!M11," - ")</f>
        <v>535</v>
      </c>
      <c r="AK11" s="228">
        <f>IF(ISNUMBER(Datos!N11),Datos!N11," - ")</f>
        <v>490</v>
      </c>
      <c r="AL11" s="228" t="str">
        <f>IF(ISNUMBER(Datos!BW11),Datos!BW11," - ")</f>
        <v xml:space="preserve"> - </v>
      </c>
      <c r="AM11" s="227" t="str">
        <f>IF(ISNUMBER(Datos!BX11),Datos!BX11," - ")</f>
        <v xml:space="preserve"> - </v>
      </c>
      <c r="AN11" s="242"/>
      <c r="AO11" s="259">
        <f>IF(ISNUMBER(((NºAsuntos!I11/NºAsuntos!G11)*11)/factor_trimestre),((NºAsuntos!I11/NºAsuntos!G11)*11)/factor_trimestre," - ")</f>
        <v>4.2251655629139071</v>
      </c>
      <c r="AP11" s="229" t="str">
        <f>IF(ISNUMBER(Datos!CI11/Datos!CJ11),Datos!CI11/Datos!CJ11," - ")</f>
        <v xml:space="preserve"> - </v>
      </c>
      <c r="AQ11" s="229" t="str">
        <f>IF(ISNUMBER((I11-Y11+K11)/(F11)),(I11-Y11+K11)/(F11)," - ")</f>
        <v xml:space="preserve"> - </v>
      </c>
      <c r="AR11" s="229">
        <f>IF(ISNUMBER((Datos!P11-Datos!Q11+Datos!DE11)/(Datos!R11-Datos!P11+Datos!Q11-Datos!DE11)),(Datos!P11-Datos!Q11+Datos!DE11)/(Datos!R11-Datos!P11+Datos!Q11-Datos!DE11)," - ")</f>
        <v>-3.2376502002670227E-2</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240.54545454545453</v>
      </c>
      <c r="BZ11" s="1185">
        <f>Datos!EZ11</f>
        <v>0</v>
      </c>
    </row>
    <row r="12" spans="1:78" ht="15" thickBot="1">
      <c r="A12" s="500">
        <f>Datos!AO12</f>
        <v>0</v>
      </c>
      <c r="B12" s="506" t="s">
        <v>246</v>
      </c>
      <c r="C12" s="7" t="str">
        <f>Datos!A12</f>
        <v xml:space="preserve">Jdos. 1ª Instª. e Instr./Secc. Civil y de Inst. TI                      </v>
      </c>
      <c r="D12" s="507"/>
      <c r="E12" s="1167">
        <f>IF(ISNUMBER(Datos!AQ12),Datos!AQ12," - ")</f>
        <v>0</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0</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t="str">
        <f>IF(ISNUMBER(Datos!Q12),Datos!Q12," - ")</f>
        <v xml:space="preserve"> - </v>
      </c>
      <c r="AA12" s="331" t="str">
        <f>IF(ISNUMBER(IF(J_V="SI",Datos!L12,Datos!L12+Datos!AB12)-IF(Monitorios="SI",Datos!CD12,0)),
                          IF(J_V="SI",Datos!L12,Datos!L12+Datos!AB12)-IF(Monitorios="SI",Datos!CD12,0),
                          " - ")</f>
        <v xml:space="preserve"> - </v>
      </c>
      <c r="AB12" s="333"/>
      <c r="AC12" s="333"/>
      <c r="AD12" s="483"/>
      <c r="AE12" s="483" t="str">
        <f>IF(ISNUMBER(Datos!R12),Datos!R12," - ")</f>
        <v xml:space="preserve"> - </v>
      </c>
      <c r="AF12" s="228" t="str">
        <f>IF(ISNUMBER(Datos!BV12),Datos!BV12," - ")</f>
        <v xml:space="preserve"> - </v>
      </c>
      <c r="AG12" s="224" t="str">
        <f>IF(ISNUMBER(Datos!DV12),Datos!DV12," - ")</f>
        <v xml:space="preserve"> - </v>
      </c>
      <c r="AH12" s="297"/>
      <c r="AI12" s="226"/>
      <c r="AJ12" s="224" t="str">
        <f>IF(ISNUMBER(Datos!M12),Datos!M12," - ")</f>
        <v xml:space="preserve"> - </v>
      </c>
      <c r="AK12" s="228" t="str">
        <f>IF(ISNUMBER(Datos!N12),Datos!N12," - ")</f>
        <v xml:space="preserve"> - </v>
      </c>
      <c r="AL12" s="228" t="str">
        <f>IF(ISNUMBER(Datos!BW12),Datos!BW12," - ")</f>
        <v xml:space="preserve"> - </v>
      </c>
      <c r="AM12" s="227" t="str">
        <f>IF(ISNUMBER(Datos!BX12),Datos!BX12," - ")</f>
        <v xml:space="preserve"> - </v>
      </c>
      <c r="AN12" s="242"/>
      <c r="AO12" s="259" t="str">
        <f>IF(ISNUMBER(((NºAsuntos!I12/NºAsuntos!G12)*11)/factor_trimestre),((NºAsuntos!I12/NºAsuntos!G12)*11)/factor_trimestre," - ")</f>
        <v xml:space="preserve"> - </v>
      </c>
      <c r="AP12" s="229" t="str">
        <f>IF(ISNUMBER(Datos!CI12/Datos!CJ12),Datos!CI12/Datos!CJ12," - ")</f>
        <v xml:space="preserve"> - </v>
      </c>
      <c r="AQ12" s="229" t="str">
        <f>IF(ISNUMBER((I12-Y12+K12)/(F12)),(I12-Y12+K12)/(F12)," - ")</f>
        <v xml:space="preserve"> - </v>
      </c>
      <c r="AR12" s="229" t="str">
        <f>IF(ISNUMBER((Datos!P12-Datos!Q12+Datos!DE12)/(Datos!R12-Datos!P12+Datos!Q12-Datos!DE12)),(Datos!P12-Datos!Q12+Datos!DE12)/(Datos!R12-Datos!P12+Datos!Q12-Datos!DE12)," - ")</f>
        <v xml:space="preserve"> - </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123.63636363636364</v>
      </c>
      <c r="BZ12" s="1185">
        <f>Datos!EZ12</f>
        <v>0</v>
      </c>
    </row>
    <row r="13" spans="1:78" ht="15.75" thickTop="1" thickBot="1">
      <c r="A13" s="177"/>
      <c r="B13" s="177"/>
      <c r="C13" s="862" t="str">
        <f>Datos!A13</f>
        <v>TOTAL</v>
      </c>
      <c r="D13" s="862"/>
      <c r="E13" s="897">
        <f>SUBTOTAL(9,E8:E12)</f>
        <v>67</v>
      </c>
      <c r="F13" s="897">
        <f>SUBTOTAL(9,F8:F12)</f>
        <v>483</v>
      </c>
      <c r="G13" s="897">
        <f>SUBTOTAL(9,G8:G12)</f>
        <v>483</v>
      </c>
      <c r="H13" s="907"/>
      <c r="I13" s="897">
        <f t="shared" ref="I13:N13" si="0">SUBTOTAL(9,I8:I12)</f>
        <v>0</v>
      </c>
      <c r="J13" s="866">
        <f t="shared" si="0"/>
        <v>0</v>
      </c>
      <c r="K13" s="907">
        <f t="shared" si="0"/>
        <v>0</v>
      </c>
      <c r="L13" s="907">
        <f t="shared" si="0"/>
        <v>0</v>
      </c>
      <c r="M13" s="907">
        <f t="shared" si="0"/>
        <v>0</v>
      </c>
      <c r="N13" s="907">
        <f t="shared" si="0"/>
        <v>9758</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164</v>
      </c>
      <c r="Z13" s="906">
        <f t="shared" si="2"/>
        <v>8588</v>
      </c>
      <c r="AA13" s="899">
        <f t="shared" si="2"/>
        <v>479</v>
      </c>
      <c r="AB13" s="899">
        <f t="shared" si="2"/>
        <v>0</v>
      </c>
      <c r="AC13" s="899">
        <f t="shared" si="2"/>
        <v>0</v>
      </c>
      <c r="AD13" s="899">
        <f t="shared" si="2"/>
        <v>0</v>
      </c>
      <c r="AE13" s="899">
        <f t="shared" si="2"/>
        <v>86572</v>
      </c>
      <c r="AF13" s="907">
        <f t="shared" si="2"/>
        <v>0</v>
      </c>
      <c r="AG13" s="907">
        <f t="shared" si="2"/>
        <v>0</v>
      </c>
      <c r="AH13" s="907">
        <f t="shared" si="2"/>
        <v>0</v>
      </c>
      <c r="AI13" s="907">
        <f t="shared" si="2"/>
        <v>0</v>
      </c>
      <c r="AJ13" s="907">
        <f t="shared" si="2"/>
        <v>5776</v>
      </c>
      <c r="AK13" s="907">
        <f t="shared" si="2"/>
        <v>10034</v>
      </c>
      <c r="AL13" s="907">
        <f t="shared" si="2"/>
        <v>0</v>
      </c>
      <c r="AM13" s="907">
        <f t="shared" si="2"/>
        <v>0</v>
      </c>
      <c r="AN13" s="907">
        <f t="shared" si="2"/>
        <v>0</v>
      </c>
      <c r="AO13" s="903">
        <f>IF(ISNUMBER(((NºAsuntos!I13/NºAsuntos!G13)*11)/factor_trimestre),((NºAsuntos!I13/NºAsuntos!G13)*11)/factor_trimestre," - ")</f>
        <v>5.1421312762714217</v>
      </c>
      <c r="AP13" s="909" t="str">
        <f>IF(ISNUMBER(Datos!CI13/Datos!CJ13),Datos!CI13/Datos!CJ13," - ")</f>
        <v xml:space="preserve"> - </v>
      </c>
      <c r="AQ13" s="927">
        <f t="shared" ref="AQ13:AV13" si="3">SUBTOTAL(9,AQ9:AQ12)</f>
        <v>0</v>
      </c>
      <c r="AR13" s="927">
        <f t="shared" si="3"/>
        <v>-3.5149206767951462E-2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33</v>
      </c>
      <c r="B15" s="506" t="s">
        <v>396</v>
      </c>
      <c r="C15" s="159" t="str">
        <f>Datos!A15</f>
        <v xml:space="preserve">Jdos. Instrucción                               </v>
      </c>
      <c r="D15" s="501"/>
      <c r="E15" s="1167">
        <f>IF(ISNUMBER(Datos!AQ15),Datos!AQ15," - ")</f>
        <v>33</v>
      </c>
      <c r="F15" s="332">
        <f>IF(ISNUMBER(AA15+Y15-Datos!J15-K15),AA15+Y15-Datos!J15-K15," - ")</f>
        <v>22336</v>
      </c>
      <c r="G15" s="224">
        <f>IF(ISNUMBER(IF(D_I="SI",Datos!I15,Datos!I15+Datos!AC15)),IF(D_I="SI",Datos!I15,Datos!I15+Datos!AC15)," - ")</f>
        <v>22006</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2268</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f>IF(ISNUMBER(IF(D_I="SI",Datos!K15,Datos!K15+Datos!AE15)),IF(D_I="SI",Datos!K15,Datos!K15+Datos!AE15)," - ")</f>
        <v>31958</v>
      </c>
      <c r="Z15" s="618">
        <f>IF(ISNUMBER(Datos!Q15),Datos!Q15," - ")</f>
        <v>2063</v>
      </c>
      <c r="AA15" s="331">
        <f>IF(ISNUMBER(IF(D_I="SI",Datos!L15,Datos!L15+Datos!AF15)),IF(D_I="SI",Datos!L15,Datos!L15+Datos!AF15)," - ")</f>
        <v>24846</v>
      </c>
      <c r="AB15" s="333"/>
      <c r="AC15" s="333"/>
      <c r="AD15" s="483"/>
      <c r="AE15" s="483">
        <f>IF(ISNUMBER(Datos!R15),Datos!R15," - ")</f>
        <v>4633</v>
      </c>
      <c r="AF15" s="228" t="str">
        <f>IF(ISNUMBER(Datos!BV15),Datos!BV15," - ")</f>
        <v xml:space="preserve"> - </v>
      </c>
      <c r="AG15" s="224"/>
      <c r="AH15" s="297"/>
      <c r="AI15" s="226"/>
      <c r="AJ15" s="224">
        <f>IF(ISNUMBER(Datos!M15),Datos!M15," - ")</f>
        <v>5723</v>
      </c>
      <c r="AK15" s="228">
        <f>IF(ISNUMBER(Datos!N15),Datos!N15," - ")</f>
        <v>16360</v>
      </c>
      <c r="AL15" s="228" t="str">
        <f>IF(ISNUMBER(Datos!BW15),Datos!BW15," - ")</f>
        <v xml:space="preserve"> - </v>
      </c>
      <c r="AM15" s="227" t="str">
        <f>IF(ISNUMBER(Datos!BX15),Datos!BX15," - ")</f>
        <v xml:space="preserve"> - </v>
      </c>
      <c r="AN15" s="242"/>
      <c r="AO15" s="259">
        <f>IF(ISNUMBER(((NºAsuntos!I15/NºAsuntos!G15)*11)/factor_trimestre),((NºAsuntos!I15/NºAsuntos!G15)*11)/factor_trimestre," - ")</f>
        <v>1.5549158270229677</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600</v>
      </c>
      <c r="BZ15" s="1185">
        <f>Datos!EZ15</f>
        <v>0</v>
      </c>
    </row>
    <row r="16" spans="1:78" ht="14.25">
      <c r="A16" s="500">
        <f>Datos!AO16</f>
        <v>0</v>
      </c>
      <c r="B16" s="506" t="s">
        <v>396</v>
      </c>
      <c r="C16" s="159" t="str">
        <f>Datos!A16</f>
        <v xml:space="preserve">Jdos. 1ª Instª. e Instr./Secc. Civil y de Inst. TI                      </v>
      </c>
      <c r="D16" s="501"/>
      <c r="E16" s="1167">
        <f>IF(ISNUMBER(Datos!AQ16),Datos!AQ16," - ")</f>
        <v>0</v>
      </c>
      <c r="F16" s="332" t="str">
        <f>IF(ISNUMBER(AA16+Y16-Datos!J16-K15),AA16+Y16-Datos!J16-K15," - ")</f>
        <v xml:space="preserve"> - </v>
      </c>
      <c r="G16" s="224" t="str">
        <f>IF(ISNUMBER(IF(D_I="SI",Datos!I16,Datos!I16+Datos!AC16)),IF(D_I="SI",Datos!I16,Datos!I16+Datos!AC16)," - ")</f>
        <v xml:space="preserve"> - </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0</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t="str">
        <f>IF(ISNUMBER(IF(D_I="SI",Datos!K16,Datos!K16+Datos!AE16)),IF(D_I="SI",Datos!K16,Datos!K16+Datos!AE16)," - ")</f>
        <v xml:space="preserve"> - </v>
      </c>
      <c r="Z16" s="618" t="str">
        <f>IF(ISNUMBER(Datos!Q16),Datos!Q16," - ")</f>
        <v xml:space="preserve"> - </v>
      </c>
      <c r="AA16" s="331" t="str">
        <f>IF(ISNUMBER(IF(D_I="SI",Datos!L16,Datos!L16+Datos!AF16)),IF(D_I="SI",Datos!L16,Datos!L16+Datos!AF16)," - ")</f>
        <v xml:space="preserve"> - </v>
      </c>
      <c r="AB16" s="333"/>
      <c r="AC16" s="333"/>
      <c r="AD16" s="483"/>
      <c r="AE16" s="483" t="str">
        <f>IF(ISNUMBER(Datos!R16),Datos!R16," - ")</f>
        <v xml:space="preserve"> - </v>
      </c>
      <c r="AF16" s="228" t="str">
        <f>IF(ISNUMBER(Datos!BV16),Datos!BV16," - ")</f>
        <v xml:space="preserve"> - </v>
      </c>
      <c r="AG16" s="224"/>
      <c r="AH16" s="297"/>
      <c r="AI16" s="226"/>
      <c r="AJ16" s="224" t="str">
        <f>IF(ISNUMBER(Datos!M16),Datos!M16," - ")</f>
        <v xml:space="preserve"> - </v>
      </c>
      <c r="AK16" s="228" t="str">
        <f>IF(ISNUMBER(Datos!N16),Datos!N16," - ")</f>
        <v xml:space="preserve"> - </v>
      </c>
      <c r="AL16" s="228" t="str">
        <f>IF(ISNUMBER(Datos!BW16),Datos!BW16," - ")</f>
        <v xml:space="preserve"> - </v>
      </c>
      <c r="AM16" s="227" t="str">
        <f>IF(ISNUMBER(Datos!BX16),Datos!BX16," - ")</f>
        <v xml:space="preserve"> - </v>
      </c>
      <c r="AN16" s="242"/>
      <c r="AO16" s="259" t="str">
        <f>IF(ISNUMBER(((NºAsuntos!I16/NºAsuntos!G16)*11)/factor_trimestre),((NºAsuntos!I16/NºAsuntos!G16)*11)/factor_trimestre," - ")</f>
        <v xml:space="preserve"> - </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181.81818181818181</v>
      </c>
      <c r="BZ16" s="1185">
        <f>Datos!EZ16</f>
        <v>0</v>
      </c>
    </row>
    <row r="17" spans="1:78" ht="15" thickBot="1">
      <c r="A17" s="500">
        <f>Datos!AO17</f>
        <v>5</v>
      </c>
      <c r="B17" s="506" t="s">
        <v>396</v>
      </c>
      <c r="C17" s="7" t="str">
        <f>Datos!A17</f>
        <v>Jdos. Violencia contra la mujer/Secc Viol. TI.</v>
      </c>
      <c r="D17" s="507"/>
      <c r="E17" s="1167">
        <f>IF(ISNUMBER(Datos!AQ17),Datos!AQ17," - ")</f>
        <v>5</v>
      </c>
      <c r="F17" s="224" t="str">
        <f>IF(ISNUMBER(AA17+Y17-I17-K17),AA17+Y17-I17-K17," - ")</f>
        <v xml:space="preserve"> - </v>
      </c>
      <c r="G17" s="522">
        <f>IF(ISNUMBER(IF(D_I="SI",Datos!I17,Datos!I17+Datos!AC17)),IF(D_I="SI",Datos!I17,Datos!I17+Datos!AC17)," - ")</f>
        <v>1583</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10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1684</v>
      </c>
      <c r="Z17" s="618">
        <f>IF(ISNUMBER(Datos!Q17),Datos!Q17," - ")</f>
        <v>2</v>
      </c>
      <c r="AA17" s="331">
        <f>IF(ISNUMBER(Datos!L17),Datos!L17,"-")</f>
        <v>1787</v>
      </c>
      <c r="AB17" s="333"/>
      <c r="AC17" s="333"/>
      <c r="AD17" s="483"/>
      <c r="AE17" s="483">
        <f>IF(ISNUMBER(Datos!R17),Datos!R17," - ")</f>
        <v>17</v>
      </c>
      <c r="AF17" s="228" t="str">
        <f>IF(ISNUMBER(Datos!BV17),Datos!BV17," - ")</f>
        <v xml:space="preserve"> - </v>
      </c>
      <c r="AG17" s="224" t="str">
        <f>IF(ISNUMBER(Datos!DV17),Datos!DV17," - ")</f>
        <v xml:space="preserve"> - </v>
      </c>
      <c r="AH17" s="297"/>
      <c r="AI17" s="226"/>
      <c r="AJ17" s="224">
        <f>IF(ISNUMBER(Datos!M17),Datos!M17," - ")</f>
        <v>40</v>
      </c>
      <c r="AK17" s="228">
        <f>IF(ISNUMBER(Datos!N17),Datos!N17," - ")</f>
        <v>904</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2.1223277909738716</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290.90909090909093</v>
      </c>
      <c r="BZ17" s="1185">
        <f>Datos!EZ17</f>
        <v>0</v>
      </c>
    </row>
    <row r="18" spans="1:78" ht="15.75" thickTop="1" thickBot="1">
      <c r="A18" s="177"/>
      <c r="B18" s="177"/>
      <c r="C18" s="862" t="str">
        <f>Datos!A18</f>
        <v>TOTAL</v>
      </c>
      <c r="D18" s="862"/>
      <c r="E18" s="1168">
        <f>SUBTOTAL(9,E15:E17)</f>
        <v>38</v>
      </c>
      <c r="F18" s="897">
        <f>SUBTOTAL(9,F15:F17)</f>
        <v>22336</v>
      </c>
      <c r="G18" s="897">
        <f>SUBTOTAL(9,G15:G17)</f>
        <v>23589</v>
      </c>
      <c r="H18" s="931">
        <f>SUBTOTAL(9,H15:H17)</f>
        <v>0</v>
      </c>
      <c r="I18" s="910">
        <f>SUBTOTAL(9,I15:I17)</f>
        <v>0</v>
      </c>
      <c r="J18" s="866">
        <f>SUBTOTAL(9,J14:J17)</f>
        <v>0</v>
      </c>
      <c r="K18" s="931">
        <f t="shared" ref="K18:S18" si="4">SUBTOTAL(9,K15:K17)</f>
        <v>0</v>
      </c>
      <c r="L18" s="931">
        <f t="shared" si="4"/>
        <v>0</v>
      </c>
      <c r="M18" s="931">
        <f t="shared" si="4"/>
        <v>0</v>
      </c>
      <c r="N18" s="931">
        <f t="shared" si="4"/>
        <v>2278</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33642</v>
      </c>
      <c r="Z18" s="931">
        <f t="shared" si="5"/>
        <v>2065</v>
      </c>
      <c r="AA18" s="931">
        <f t="shared" si="5"/>
        <v>26633</v>
      </c>
      <c r="AB18" s="931">
        <f t="shared" si="5"/>
        <v>0</v>
      </c>
      <c r="AC18" s="931">
        <f t="shared" si="5"/>
        <v>0</v>
      </c>
      <c r="AD18" s="931">
        <f t="shared" si="5"/>
        <v>0</v>
      </c>
      <c r="AE18" s="931">
        <f t="shared" si="5"/>
        <v>4650</v>
      </c>
      <c r="AF18" s="931">
        <f t="shared" si="5"/>
        <v>0</v>
      </c>
      <c r="AG18" s="931">
        <f t="shared" si="5"/>
        <v>0</v>
      </c>
      <c r="AH18" s="931">
        <f t="shared" si="5"/>
        <v>0</v>
      </c>
      <c r="AI18" s="931">
        <f t="shared" si="5"/>
        <v>0</v>
      </c>
      <c r="AJ18" s="931">
        <f t="shared" si="5"/>
        <v>5763</v>
      </c>
      <c r="AK18" s="931">
        <f t="shared" si="5"/>
        <v>17264</v>
      </c>
      <c r="AL18" s="931">
        <f t="shared" si="5"/>
        <v>0</v>
      </c>
      <c r="AM18" s="931">
        <f t="shared" si="5"/>
        <v>0</v>
      </c>
      <c r="AN18" s="931">
        <f t="shared" si="5"/>
        <v>0</v>
      </c>
      <c r="AO18" s="933">
        <f>IF(ISNUMBER(((NºAsuntos!I18/NºAsuntos!G18)*11)/factor_trimestre),((NºAsuntos!I18/NºAsuntos!G18)*11)/factor_trimestre," - ")</f>
        <v>1.5833184709589203</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105</v>
      </c>
      <c r="F19" s="819">
        <f t="shared" si="7"/>
        <v>22819</v>
      </c>
      <c r="G19" s="819">
        <f t="shared" si="7"/>
        <v>24072</v>
      </c>
      <c r="H19" s="820">
        <f t="shared" si="7"/>
        <v>0</v>
      </c>
      <c r="I19" s="819">
        <f t="shared" si="7"/>
        <v>0</v>
      </c>
      <c r="J19" s="821">
        <f t="shared" si="7"/>
        <v>0</v>
      </c>
      <c r="K19" s="819">
        <f t="shared" si="7"/>
        <v>0</v>
      </c>
      <c r="L19" s="822">
        <f t="shared" si="7"/>
        <v>0</v>
      </c>
      <c r="M19" s="819">
        <f t="shared" si="7"/>
        <v>0</v>
      </c>
      <c r="N19" s="820">
        <f t="shared" si="7"/>
        <v>12036</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33806</v>
      </c>
      <c r="Z19" s="826">
        <f t="shared" si="8"/>
        <v>10653</v>
      </c>
      <c r="AA19" s="827">
        <f t="shared" si="8"/>
        <v>27112</v>
      </c>
      <c r="AB19" s="827">
        <f t="shared" si="8"/>
        <v>0</v>
      </c>
      <c r="AC19" s="827">
        <f t="shared" si="8"/>
        <v>0</v>
      </c>
      <c r="AD19" s="828">
        <f t="shared" si="8"/>
        <v>0</v>
      </c>
      <c r="AE19" s="828">
        <f t="shared" si="8"/>
        <v>91222</v>
      </c>
      <c r="AF19" s="829">
        <f t="shared" si="8"/>
        <v>0</v>
      </c>
      <c r="AG19" s="830">
        <f t="shared" si="8"/>
        <v>0</v>
      </c>
      <c r="AH19" s="831">
        <f t="shared" si="8"/>
        <v>0</v>
      </c>
      <c r="AI19" s="829">
        <f t="shared" si="8"/>
        <v>0</v>
      </c>
      <c r="AJ19" s="819">
        <f t="shared" si="8"/>
        <v>11539</v>
      </c>
      <c r="AK19" s="819">
        <f t="shared" si="8"/>
        <v>27298</v>
      </c>
      <c r="AL19" s="819">
        <f t="shared" si="8"/>
        <v>0</v>
      </c>
      <c r="AM19" s="832">
        <f t="shared" si="8"/>
        <v>0</v>
      </c>
      <c r="AN19" s="822">
        <f>IF(ISNUMBER(Datos!K19/Datos!J19),Datos!K19/Datos!J19," - ")</f>
        <v>1.0297300947272974</v>
      </c>
      <c r="AO19" s="822">
        <f>IF(ISNUMBER(FIND("06",Criterios!A8,1)),(IF(ISNUMBER(((Datos!R19/Datos!Q19)*11)/factor_trimestre),((Datos!R19/Datos!Q19)*11)/factor_trimestre," - ")),(IF(ISNUMBER(((Datos!L19/Datos!K19)*11)/factor_trimestre),((Datos!L19/Datos!K19)*11)/factor_trimestre," - ")))</f>
        <v>3.0208341139880841</v>
      </c>
      <c r="AP19" s="833" t="str">
        <f>IF(ISNUMBER(Datos!CI19/Datos!CJ19),Datos!CI19/Datos!CJ19," - ")</f>
        <v xml:space="preserve"> - </v>
      </c>
      <c r="AQ19" s="833">
        <f>IF(OR(ISNUMBER(FIND("01",Criterios!A8,1)),ISNUMBER(FIND("02",Criterios!A8,1)),ISNUMBER(FIND("03",Criterios!A8,1)),ISNUMBER(FIND("04",Criterios!A8,1))),(J19-Y19+K19)/(F19-K19),(I19-Y19+K19)/(F19-K19))</f>
        <v>-1.481484727639248</v>
      </c>
      <c r="AR19" s="833">
        <f>IF(ISNUMBER((Datos!P19-Datos!Q19+O19)/(Datos!R19-Datos!P19+Datos!Q19-O19)),(Datos!P19-Datos!Q19+O19)/(Datos!R19-Datos!P19+Datos!Q19-O19)," - ")</f>
        <v>1.539420518928305E-2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9628.7999999999993</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12616.835432600892</v>
      </c>
      <c r="G21" s="551">
        <f>IF(ISNUMBER(STDEV(G8:G18)),STDEV(G8:G18),"-")</f>
        <v>12042.72058963422</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2904.9868289185883</v>
      </c>
      <c r="AK21" s="251"/>
      <c r="AL21" s="251">
        <f>IF(ISNUMBER(STDEV(AL8:AL18)),STDEV(AL8:AL18),"-")</f>
        <v>0</v>
      </c>
      <c r="AM21" s="253">
        <f>IF(ISNUMBER(STDEV(AM8:AM18)),STDEV(AM8:AM18),"-")</f>
        <v>0</v>
      </c>
      <c r="AN21" s="538">
        <f>IF(ISNUMBER(STDEV(AN8:AN18)),STDEV(AN8:AN18),"-")</f>
        <v>0</v>
      </c>
      <c r="AO21" s="539">
        <f>IF(ISNUMBER(STDEV(AO8:AO18)),STDEV(AO8:AO18),"-")</f>
        <v>1.8596382486035397</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153.88167612790645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09 dic. 2025</v>
      </c>
    </row>
    <row r="32" spans="1:78" ht="13.5" thickBot="1">
      <c r="C32" s="535"/>
      <c r="D32" s="526"/>
      <c r="E32" s="526"/>
    </row>
    <row r="33" spans="12:12" ht="15" thickBot="1">
      <c r="L33" s="545"/>
    </row>
  </sheetData>
  <sheetProtection algorithmName="SHA-512" hashValue="vA0ltnRxy9WTyDlTpUGkgmRnWNzk91KOTLblJ4H7QqwoM9W1CUacil2ATEiQJ+29/n+TU+9jHLnfOoz+/WKf+g==" saltValue="+lBcYPDCv3QNUhwUqUZFe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3 al 3</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E1Xr588ZkjHhSWiQMCRbw7pDhwJVr6/J500PK3nPSrJrgSj2wxkpnaI1gXrx2jzlPst9oAI0PlnbhV48ghvdWQ==" saltValue="RCcxo3R41Sxs2Va/nmSPo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BARCELONA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3l0fUdadXY75LdgKjZXqhdjTqVkVBUtemb52PhRgvwl+XWXqRaq0BH44WMjxAWYGDVKgK/qhrMsM/8xdqh3R7w==" saltValue="U7T2ThwOIf0DVohqi/mgfw=="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CATALUÑA</v>
      </c>
    </row>
    <row r="2" spans="1:78" ht="16.5" customHeight="1">
      <c r="C2" s="487" t="str">
        <f>Criterios!A10 &amp;"  "&amp;Criterios!B10 &amp; "  " &amp; IF(NOT(ISBLANK(Criterios!A11)),Criterios!A11 &amp;"  "&amp;Criterios!B11,"")</f>
        <v>Provincias  BARCELONA  Resumenes por Partidos Judiciales  BARCELONA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0.26680216176266802</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0.18865761781761275</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09 dic. 2025</v>
      </c>
    </row>
    <row r="32" spans="1:78">
      <c r="C32" s="773"/>
      <c r="D32" s="773"/>
    </row>
  </sheetData>
  <sheetProtection algorithmName="SHA-512" hashValue="r2/KA3YiVe961iUDBF3XJrJTWhkWjmGO/BHH13/ig2B1icqy2SSzMfaCBYDWLiDm141GmN22pYN8sVPi3eamag==" saltValue="D3SSukQVAi09WvSAmh8eE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jZ+P6wRYU4f1RJplK8N31G5viMfMBq4Llx9/j5DSm+8GjtqQs71wsJTJ6g6wUkcyCX1UAyd0SVR1NVi5neZd1w==" saltValue="CBVkUjbLKON+WMeTYbW7K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CATALUÑA</v>
      </c>
      <c r="C2" s="374"/>
      <c r="D2" s="374"/>
      <c r="E2" s="374"/>
      <c r="F2" s="374"/>
    </row>
    <row r="3" spans="1:69" ht="19.5">
      <c r="A3" s="389" t="s">
        <v>115</v>
      </c>
      <c r="B3" s="390" t="str">
        <f>Criterios!A10 &amp;"  "&amp;Criterios!B10</f>
        <v>Provincias  BARCELONA</v>
      </c>
      <c r="D3" s="374"/>
      <c r="E3" s="374"/>
      <c r="F3" s="374"/>
      <c r="BQ3" s="470"/>
    </row>
    <row r="4" spans="1:69" ht="13.5" thickBot="1">
      <c r="A4" s="374"/>
      <c r="B4" s="390" t="str">
        <f>Criterios!A11 &amp;"  "&amp;Criterios!B11</f>
        <v>Resumenes por Partidos Judiciales  BARCELONA</v>
      </c>
      <c r="C4" s="374"/>
      <c r="D4" s="374"/>
      <c r="E4" s="374"/>
      <c r="F4" s="374"/>
      <c r="BQ4" s="470"/>
    </row>
    <row r="5" spans="1:69" ht="15.75" customHeight="1">
      <c r="A5" s="1197" t="str">
        <f>"Año:  " &amp;Criterios!B5 &amp; "     Trimestre   " &amp;Criterios!D5 &amp; " al " &amp;Criterios!D6</f>
        <v>Año:  2025     Trimestre   3 al 3</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54</v>
      </c>
      <c r="C9" s="402">
        <f>IF(ISNUMBER(IF(J_V="SI",Datos!I9,Datos!I9+Datos!Y9)),IF(J_V="SI",Datos!I9,Datos!I9+Datos!Y9)," - ")</f>
        <v>55858</v>
      </c>
      <c r="D9" s="403">
        <f>IF(ISNUMBER(C9/Datos!BH9),C9/Datos!BH9," - ")</f>
        <v>1034.4074074074074</v>
      </c>
      <c r="E9" s="402">
        <f>IF(ISNUMBER(IF(J_V="SI",Datos!J9,Datos!J9+Datos!Z9)),IF(J_V="SI",Datos!J9,Datos!J9+Datos!Z9)," - ")</f>
        <v>16458</v>
      </c>
      <c r="F9" s="403">
        <f>IF(ISNUMBER(E9/B9),E9/B9," - ")</f>
        <v>304.77777777777777</v>
      </c>
      <c r="G9" s="402">
        <f>IF(ISNUMBER(IF(J_V="SI",Datos!K9,Datos!K9+Datos!AA9)),IF(J_V="SI",Datos!K9,Datos!K9+Datos!AA9)," - ")</f>
        <v>20126</v>
      </c>
      <c r="H9" s="403">
        <f>IF(ISNUMBER(G9/B9),G9/B9," - ")</f>
        <v>372.7037037037037</v>
      </c>
      <c r="I9" s="402">
        <f>IF(ISNUMBER(IF(J_V="SI",Datos!L9,Datos!L9+Datos!AB9)),IF(J_V="SI",Datos!L9,Datos!L9+Datos!AB9)," - ")</f>
        <v>52311</v>
      </c>
      <c r="J9" s="403">
        <f>IF(ISNUMBER(I9/B9),I9/B9," - ")</f>
        <v>968.72222222222217</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5</v>
      </c>
      <c r="C10" s="402">
        <f>IF(ISNUMBER(Datos!I10),Datos!I10," - ")</f>
        <v>483</v>
      </c>
      <c r="D10" s="403">
        <f>IF(ISNUMBER(C10/Datos!BH10),C10/Datos!BH10," - ")</f>
        <v>96.6</v>
      </c>
      <c r="E10" s="402">
        <f>IF(ISNUMBER(Datos!J10),Datos!J10," - ")</f>
        <v>160</v>
      </c>
      <c r="F10" s="403">
        <f>IF(ISNUMBER(E10/B10),E10/B10," - ")</f>
        <v>32</v>
      </c>
      <c r="G10" s="402">
        <f>IF(ISNUMBER(Datos!K10),Datos!K10," - ")</f>
        <v>164</v>
      </c>
      <c r="H10" s="403">
        <f>IF(ISNUMBER(G10/B10),G10/B10," - ")</f>
        <v>32.799999999999997</v>
      </c>
      <c r="I10" s="402">
        <f>IF(ISNUMBER(Datos!L10),Datos!L10," - ")</f>
        <v>479</v>
      </c>
      <c r="J10" s="403">
        <f>IF(ISNUMBER(I10/B10),I10/B10," - ")</f>
        <v>95.8</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8</v>
      </c>
      <c r="C11" s="402">
        <f>IF(ISNUMBER(IF(J_V="SI",Datos!I11,Datos!I11+Datos!Y11)),IF(J_V="SI",Datos!I11,Datos!I11+Datos!Y11)," - ")</f>
        <v>2831</v>
      </c>
      <c r="D11" s="403">
        <f>IF(ISNUMBER(C11/Datos!BH11),C11/Datos!BH11," - ")</f>
        <v>353.875</v>
      </c>
      <c r="E11" s="402">
        <f>IF(ISNUMBER(IF(J_V="SI",Datos!J11,Datos!J11+Datos!Z11)),IF(J_V="SI",Datos!J11,Datos!J11+Datos!Z11)," - ")</f>
        <v>1342</v>
      </c>
      <c r="F11" s="403">
        <f>IF(ISNUMBER(E11/B11),E11/B11," - ")</f>
        <v>167.75</v>
      </c>
      <c r="G11" s="402">
        <f>IF(ISNUMBER(IF(J_V="SI",Datos!K11,Datos!K11+Datos!AA11)),IF(J_V="SI",Datos!K11,Datos!K11+Datos!AA11)," - ")</f>
        <v>1359</v>
      </c>
      <c r="H11" s="403">
        <f>IF(ISNUMBER(G11/B11),G11/B11," - ")</f>
        <v>169.875</v>
      </c>
      <c r="I11" s="402">
        <f>IF(ISNUMBER(IF(J_V="SI",Datos!L11,Datos!L11+Datos!AB11)),IF(J_V="SI",Datos!L11,Datos!L11+Datos!AB11)," - ")</f>
        <v>2871</v>
      </c>
      <c r="J11" s="403">
        <f>IF(ISNUMBER(I11/B11),I11/B11," - ")</f>
        <v>358.875</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0</v>
      </c>
      <c r="C12" s="402" t="str">
        <f>IF(ISNUMBER(IF(J_V="SI",Datos!I12,Datos!I12+Datos!Y12)),IF(J_V="SI",Datos!I12,Datos!I12+Datos!Y12)," - ")</f>
        <v xml:space="preserve"> - </v>
      </c>
      <c r="D12" s="403" t="str">
        <f>IF(ISNUMBER(C12/Datos!BH12),C12/Datos!BH12," - ")</f>
        <v xml:space="preserve"> - </v>
      </c>
      <c r="E12" s="402" t="str">
        <f>IF(ISNUMBER(IF(J_V="SI",Datos!J12,Datos!J12+Datos!Z12)),IF(J_V="SI",Datos!J12,Datos!J12+Datos!Z12)," - ")</f>
        <v xml:space="preserve"> - </v>
      </c>
      <c r="F12" s="403" t="str">
        <f>IF(ISNUMBER(E12/B12),E12/B12," - ")</f>
        <v xml:space="preserve"> - </v>
      </c>
      <c r="G12" s="402" t="str">
        <f>IF(ISNUMBER(IF(J_V="SI",Datos!K12,Datos!K12+Datos!AA12)),IF(J_V="SI",Datos!K12,Datos!K12+Datos!AA12)," - ")</f>
        <v xml:space="preserve"> - </v>
      </c>
      <c r="H12" s="403" t="str">
        <f>IF(ISNUMBER(G12/B12),G12/B12," - ")</f>
        <v xml:space="preserve"> - </v>
      </c>
      <c r="I12" s="402" t="str">
        <f>IF(ISNUMBER(IF(J_V="SI",Datos!L12,Datos!L12+Datos!AB12)),IF(J_V="SI",Datos!L12,Datos!L12+Datos!AB12)," - ")</f>
        <v xml:space="preserve"> - </v>
      </c>
      <c r="J12" s="403" t="str">
        <f>IF(ISNUMBER(I12/B12),I12/B12," - ")</f>
        <v xml:space="preserve"> - </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67</v>
      </c>
      <c r="C13" s="848">
        <f>SUBTOTAL(9,C8:C12)</f>
        <v>59172</v>
      </c>
      <c r="D13" s="849" t="str">
        <f>IF(ISNUMBER(C13/Datos!BI13),C13/Datos!BI13," - ")</f>
        <v xml:space="preserve"> - </v>
      </c>
      <c r="E13" s="848">
        <f>SUBTOTAL(9,E8:E12)</f>
        <v>17960</v>
      </c>
      <c r="F13" s="849">
        <f>IF(ISNUMBER(E13/B13),E13/B13," - ")</f>
        <v>268.05970149253733</v>
      </c>
      <c r="G13" s="848">
        <f>SUBTOTAL(9,G8:G12)</f>
        <v>21649</v>
      </c>
      <c r="H13" s="849">
        <f>IF(ISNUMBER(G13/B13),G13/B13," - ")</f>
        <v>323.1194029850746</v>
      </c>
      <c r="I13" s="848">
        <f>SUBTOTAL(9,I8:I12)</f>
        <v>55661</v>
      </c>
      <c r="J13" s="849">
        <f>IF(ISNUMBER(I13/B13),I13/B13," - ")</f>
        <v>830.7611940298508</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33</v>
      </c>
      <c r="C15" s="402">
        <f>IF(ISNUMBER(IF(D_I="SI",Datos!I15,Datos!I15+Datos!AC15)),IF(D_I="SI",Datos!I15,Datos!I15+Datos!AC15)," - ")</f>
        <v>22006</v>
      </c>
      <c r="D15" s="403">
        <f>IF(ISNUMBER(C15/Datos!BH15),C15/Datos!BH15," - ")</f>
        <v>666.84848484848487</v>
      </c>
      <c r="E15" s="402">
        <f>IF(ISNUMBER(IF(D_I="SI",Datos!J15,Datos!J15+Datos!AD15)),IF(D_I="SI",Datos!J15,Datos!J15+Datos!AD15)," - ")</f>
        <v>34468</v>
      </c>
      <c r="F15" s="403">
        <f>IF(ISNUMBER(E15/B15),E15/B15," - ")</f>
        <v>1044.4848484848485</v>
      </c>
      <c r="G15" s="402">
        <f>IF(ISNUMBER(IF(D_I="SI",Datos!K15,Datos!K15+Datos!AE15)),IF(D_I="SI",Datos!K15,Datos!K15+Datos!AE15)," - ")</f>
        <v>31958</v>
      </c>
      <c r="H15" s="403">
        <f>IF(ISNUMBER(G15/B15),G15/B15," - ")</f>
        <v>968.42424242424238</v>
      </c>
      <c r="I15" s="402">
        <f>IF(ISNUMBER(IF(D_I="SI",Datos!L15,Datos!L15+Datos!AF15)),IF(D_I="SI",Datos!L15,Datos!L15+Datos!AF15)," - ")</f>
        <v>24846</v>
      </c>
      <c r="J15" s="403">
        <f>IF(ISNUMBER(I15/B15),I15/B15," - ")</f>
        <v>752.90909090909088</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5</v>
      </c>
      <c r="C17" s="402">
        <f>IF(ISNUMBER(IF(D_I="SI",Datos!I17,Datos!I17+Datos!AC17)),IF(D_I="SI",Datos!I17,Datos!I17+Datos!AC17)," - ")</f>
        <v>1583</v>
      </c>
      <c r="D17" s="403">
        <f>IF(ISNUMBER(C17/Datos!BH17),C17/Datos!BH17," - ")</f>
        <v>316.60000000000002</v>
      </c>
      <c r="E17" s="402">
        <f>IF(ISNUMBER(IF(D_I="SI",Datos!J17,Datos!J17+Datos!AD17)),IF(D_I="SI",Datos!J17,Datos!J17+Datos!AD17)," - ")</f>
        <v>1871</v>
      </c>
      <c r="F17" s="403">
        <f>IF(ISNUMBER(E17/B17),E17/B17," - ")</f>
        <v>374.2</v>
      </c>
      <c r="G17" s="402">
        <f>IF(ISNUMBER(IF(D_I="SI",Datos!K17,Datos!K17+Datos!AE17)),IF(D_I="SI",Datos!K17,Datos!K17+Datos!AE17)," - ")</f>
        <v>1684</v>
      </c>
      <c r="H17" s="403">
        <f>IF(ISNUMBER(G17/B17),G17/B17," - ")</f>
        <v>336.8</v>
      </c>
      <c r="I17" s="402">
        <f>IF(ISNUMBER(IF(D_I="SI",Datos!L17,Datos!L17+Datos!AF17)),IF(D_I="SI",Datos!L17,Datos!L17+Datos!AF17)," - ")</f>
        <v>1787</v>
      </c>
      <c r="J17" s="403">
        <f>IF(ISNUMBER(I17/B17),I17/B17," - ")</f>
        <v>357.4</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38</v>
      </c>
      <c r="C18" s="848">
        <f>SUBTOTAL(9,C14:C17)</f>
        <v>23589</v>
      </c>
      <c r="D18" s="849" t="str">
        <f>IF(ISNUMBER(C18/Datos!BI18),C18/Datos!BI18," - ")</f>
        <v xml:space="preserve"> - </v>
      </c>
      <c r="E18" s="848">
        <f>SUBTOTAL(9,E14:E17)</f>
        <v>36339</v>
      </c>
      <c r="F18" s="849">
        <f>IF(ISNUMBER(E18/B18),E18/B18," - ")</f>
        <v>956.28947368421052</v>
      </c>
      <c r="G18" s="848">
        <f>SUBTOTAL(9,G14:G17)</f>
        <v>33642</v>
      </c>
      <c r="H18" s="849">
        <f>IF(ISNUMBER(G18/B18),G18/B18," - ")</f>
        <v>885.31578947368416</v>
      </c>
      <c r="I18" s="848">
        <f>SUBTOTAL(9,I14:I17)</f>
        <v>26633</v>
      </c>
      <c r="J18" s="849">
        <f>IF(ISNUMBER(I18/B18),I18/B18," - ")</f>
        <v>700.86842105263156</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100</v>
      </c>
      <c r="C19" s="793">
        <f>SUBTOTAL(9,C9:C18)</f>
        <v>82761</v>
      </c>
      <c r="D19" s="794" t="str">
        <f>IF(ISNUMBER(C19/Datos!BI19),C19/Datos!BI19," - ")</f>
        <v xml:space="preserve"> - </v>
      </c>
      <c r="E19" s="793">
        <f>SUBTOTAL(9,E9:E18)</f>
        <v>54299</v>
      </c>
      <c r="F19" s="794">
        <f>IF(ISNUMBER(E19/B19),E19/B19," - ")</f>
        <v>542.99</v>
      </c>
      <c r="G19" s="793">
        <f>SUBTOTAL(9,G9:G18)</f>
        <v>55291</v>
      </c>
      <c r="H19" s="794">
        <f>IF(ISNUMBER(G19/B19),G19/B19," - ")</f>
        <v>552.91</v>
      </c>
      <c r="I19" s="793">
        <f>SUBTOTAL(9,I9:I18)</f>
        <v>82294</v>
      </c>
      <c r="J19" s="794">
        <f>IF(ISNUMBER(I19/B19),I19/B19," - ")</f>
        <v>822.94</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09 dic. 2025</v>
      </c>
    </row>
    <row r="27" spans="1:69">
      <c r="A27" s="413"/>
    </row>
  </sheetData>
  <sheetProtection algorithmName="SHA-512" hashValue="WleuC6AaQ++NDg6lgNpyVpihW0yp3moVNMabxJsKEf2JorJmbTc9FA5A1xMOSQUD1TJnWknMYts6KJZPdw2HPA==" saltValue="radT5RKZ1lvmwqnsJJU7p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CATALUÑA</v>
      </c>
      <c r="W1"/>
      <c r="X1"/>
    </row>
    <row r="2" spans="1:78" ht="16.5" customHeight="1">
      <c r="C2" s="487" t="str">
        <f>Criterios!A10 &amp;"  "&amp;Criterios!B10 &amp; "  " &amp; IF(NOT(ISBLANK(Criterios!A11)),Criterios!A11 &amp;"  "&amp;Criterios!B11,"")</f>
        <v>Provincias  BARCELONA  Resumenes por Partidos Judiciales  BARCELONA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3 al 3</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54</v>
      </c>
      <c r="B9" s="500" t="s">
        <v>246</v>
      </c>
      <c r="C9" s="159" t="str">
        <f>Datos!A9</f>
        <v xml:space="preserve">Jdos. 1ª Instancia   </v>
      </c>
      <c r="D9" s="501"/>
      <c r="E9" s="681">
        <f>IF(ISNUMBER(Datos!AQ9),Datos!AQ9," - ")</f>
        <v>54</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5</v>
      </c>
      <c r="B10" s="506" t="s">
        <v>246</v>
      </c>
      <c r="C10" s="7" t="str">
        <f>Datos!A10</f>
        <v>Jdos. Violencia contra la mujer/Secc Viol. TI.</v>
      </c>
      <c r="D10" s="507"/>
      <c r="E10" s="681">
        <f>IF(ISNUMBER(Datos!AQ10),Datos!AQ10," - ")</f>
        <v>5</v>
      </c>
      <c r="F10" s="682">
        <f>IF(ISNUMBER(Datos!L10+Datos!K10-Datos!J10),Datos!L10+Datos!K10-Datos!J10," - ")</f>
        <v>483</v>
      </c>
      <c r="G10" s="683">
        <f>IF(ISNUMBER(Datos!I10),Datos!I10," - ")</f>
        <v>483</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29</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f>IF(ISNUMBER(DatosP!AS17/E10),DatosP!AS17/E10," - ")</f>
        <v>0</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164</v>
      </c>
      <c r="AC10" s="682" t="str">
        <f>IF(ISNUMBER(IF(D_I="SI",DatosP!K17,DatosP!K17+DatosP!AE17)),IF(D_I="SI",DatosP!K17,DatosP!K17+DatosP!AE17)," - ")</f>
        <v xml:space="preserve"> - </v>
      </c>
      <c r="AD10" s="684"/>
      <c r="AE10" s="684"/>
      <c r="AF10" s="687">
        <f>IF(ISNUMBER(Datos!L10),Datos!L10,"-")</f>
        <v>479</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35</v>
      </c>
      <c r="AM10" s="689">
        <f>IF(ISNUMBER(Datos!N10+DatosP!N17),Datos!N10+DatosP!N17," - ")</f>
        <v>56</v>
      </c>
      <c r="AN10" s="689">
        <f>IF(ISNUMBER(Datos!BW10+DatosP!BW17),Datos!BW10+DatosP!BW17," - ")</f>
        <v>0</v>
      </c>
      <c r="AO10" s="690">
        <f>IF(ISNUMBER(Datos!BX10+DatosP!BX17),Datos!BX10+DatosP!BX17," - ")</f>
        <v>0</v>
      </c>
      <c r="AP10" s="692">
        <f>IF(ISNUMBER(((Datos!L10/Datos!K10)*11)/factor_trimestre),((Datos!L10/Datos!K10)*11)/factor_trimestre," - ")</f>
        <v>5.8414634146341475</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8</v>
      </c>
      <c r="B11" s="506" t="s">
        <v>246</v>
      </c>
      <c r="C11" s="7" t="str">
        <f>Datos!A11</f>
        <v xml:space="preserve">Jdos. Familia                                   </v>
      </c>
      <c r="D11" s="507"/>
      <c r="E11" s="681">
        <f>IF(ISNUMBER(Datos!AQ11),Datos!AQ11," - ")</f>
        <v>8</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0</v>
      </c>
      <c r="B12" s="506" t="s">
        <v>246</v>
      </c>
      <c r="C12" s="7" t="str">
        <f>Datos!A12</f>
        <v xml:space="preserve">Jdos. 1ª Instª. e Instr./Secc. Civil y de Inst. TI                      </v>
      </c>
      <c r="D12" s="507"/>
      <c r="E12" s="681">
        <f>IF(ISNUMBER(Datos!AQ12),Datos!AQ12," - ")</f>
        <v>0</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0</v>
      </c>
      <c r="O12" s="684">
        <f>IF(ISNUMBER(DatosP!P16),DatosP!P16,0)</f>
        <v>0</v>
      </c>
      <c r="P12" s="684" t="str">
        <f>IF(ISNUMBER(DatosP!DE16),DatosP!DE16," - ")</f>
        <v xml:space="preserve"> - </v>
      </c>
      <c r="Q12" s="685"/>
      <c r="R12" s="685"/>
      <c r="S12" s="684" t="str">
        <f>IF(ISNUMBER(Datos!AS12*(2500/380)+DatosP!AS16),Datos!AS12*(2500/380)+DatosP!AS16," - ")</f>
        <v xml:space="preserve"> - </v>
      </c>
      <c r="T12" s="684" t="str">
        <f>IF(ISNUMBER(DatosP!AS16/E12),DatosP!AS16/E12," - ")</f>
        <v xml:space="preserve"> - </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t="str">
        <f>IF(ISNUMBER(Datos!Q12),Datos!Q12," - ")</f>
        <v xml:space="preserve"> - </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t="str">
        <f>IF(ISNUMBER(Datos!R12),Datos!R12," - ")</f>
        <v xml:space="preserve"> - </v>
      </c>
      <c r="AI12" s="688" t="str">
        <f>IF(ISNUMBER(DatosP!R16),DatosP!R16," - ")</f>
        <v xml:space="preserve"> - </v>
      </c>
      <c r="AJ12" s="681">
        <f>IF(ISNUMBER(Datos!BV12+DatosP!BV16),Datos!BV12+DatosP!BV16," - ")</f>
        <v>0</v>
      </c>
      <c r="AK12" s="671" t="str">
        <f>IF(ISNUMBER(Datos!DV12),Datos!DV12," - ")</f>
        <v xml:space="preserve"> - </v>
      </c>
      <c r="AL12" s="682" t="str">
        <f>IF(ISNUMBER(Datos!M12+DatosP!M16),Datos!M12+DatosP!M16," - ")</f>
        <v xml:space="preserve"> - </v>
      </c>
      <c r="AM12" s="689" t="str">
        <f>IF(ISNUMBER(Datos!N12+DatosP!N16),Datos!N12+DatosP!N16," - ")</f>
        <v xml:space="preserve"> - </v>
      </c>
      <c r="AN12" s="689">
        <f>IF(ISNUMBER(Datos!BW12+DatosP!BW16),Datos!BW12+DatosP!BW16," - ")</f>
        <v>0</v>
      </c>
      <c r="AO12" s="690">
        <f>IF(ISNUMBER(Datos!BX12+DatosP!BX16),Datos!BX12+DatosP!BX16," - ")</f>
        <v>0</v>
      </c>
      <c r="AP12" s="692" t="str">
        <f>IF(ISNUMBER(((IF(J_V="SI",Datos!L12/Datos!K12,(Datos!L12+Datos!AB12)/(Datos!K12+Datos!AA12)))*11)/factor_trimestre),((IF(J_V="SI",Datos!L12/Datos!K12,(Datos!L12+Datos!AB12)/(Datos!K12+Datos!AA12)))*11)/factor_trimestre," - ")</f>
        <v xml:space="preserve"> - </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t="str">
        <f>IF(ISNUMBER((Datos!P12-Datos!Q12+Datos!DE12)/(Datos!R12-Datos!P12+Datos!Q12-Datos!DE12)),(Datos!P12-Datos!Q12+Datos!DE12)/(Datos!R12-Datos!P12+Datos!Q12-Datos!DE12)," - ")</f>
        <v xml:space="preserve"> - </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67</v>
      </c>
      <c r="F13" s="937">
        <f t="shared" si="0"/>
        <v>483</v>
      </c>
      <c r="G13" s="937">
        <f t="shared" si="0"/>
        <v>483</v>
      </c>
      <c r="H13" s="937">
        <f t="shared" si="0"/>
        <v>0</v>
      </c>
      <c r="I13" s="939">
        <f t="shared" si="0"/>
        <v>0</v>
      </c>
      <c r="J13" s="938">
        <f t="shared" si="0"/>
        <v>0</v>
      </c>
      <c r="K13" s="938">
        <f t="shared" si="0"/>
        <v>0</v>
      </c>
      <c r="L13" s="940">
        <f t="shared" si="0"/>
        <v>0</v>
      </c>
      <c r="M13" s="940">
        <f t="shared" si="0"/>
        <v>0</v>
      </c>
      <c r="N13" s="938">
        <f t="shared" si="0"/>
        <v>29</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164</v>
      </c>
      <c r="AC13" s="938">
        <f t="shared" si="1"/>
        <v>0</v>
      </c>
      <c r="AD13" s="938">
        <f t="shared" si="1"/>
        <v>0</v>
      </c>
      <c r="AE13" s="938">
        <f t="shared" si="1"/>
        <v>0</v>
      </c>
      <c r="AF13" s="938">
        <f t="shared" si="1"/>
        <v>479</v>
      </c>
      <c r="AG13" s="938">
        <f t="shared" si="1"/>
        <v>0</v>
      </c>
      <c r="AH13" s="938">
        <f t="shared" si="1"/>
        <v>0</v>
      </c>
      <c r="AI13" s="938">
        <f t="shared" si="1"/>
        <v>0</v>
      </c>
      <c r="AJ13" s="938">
        <f t="shared" si="1"/>
        <v>0</v>
      </c>
      <c r="AK13" s="938">
        <f t="shared" si="1"/>
        <v>0</v>
      </c>
      <c r="AL13" s="938">
        <f t="shared" si="1"/>
        <v>35</v>
      </c>
      <c r="AM13" s="938">
        <f t="shared" si="1"/>
        <v>56</v>
      </c>
      <c r="AN13" s="938">
        <f t="shared" si="1"/>
        <v>0</v>
      </c>
      <c r="AO13" s="938">
        <f t="shared" si="1"/>
        <v>0</v>
      </c>
      <c r="AP13" s="943">
        <f>IF(ISNUMBER(((Datos!L13/Datos!K13)*11)/factor_trimestre),((Datos!L13/Datos!K13)*11)/factor_trimestre," - ")</f>
        <v>5.471721062233935</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-0.33954451345755693</v>
      </c>
      <c r="AU13" s="938" t="str">
        <f>IF(ISNUMBER((DatosP!#REF!-DatosP!#REF!+DatosP!#REF!)/(DatosP!#REF!+DatosP!#REF!-DatosP!#REF!-DatosP!#REF!)),(DatosP!#REF!-DatosP!#REF!+DatosP!#REF!)/(DatosP!#REF!+DatosP!#REF!-DatosP!#REF!-DatosP!#REF!)," - ")</f>
        <v xml:space="preserve"> - </v>
      </c>
      <c r="AV13" s="944">
        <f>SUBTOTAL(9,AV9:AV12)</f>
        <v>0</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33</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0</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5</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1.5833184709589203</v>
      </c>
      <c r="AQ18" s="943">
        <f>IF(ISNUMBER(((Datos!M18/Datos!L18)*11)/factor_trimestre),((Datos!M18/Datos!L18)*11)/factor_trimestre," - ")</f>
        <v>0.4327713738594976</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4.8005409060175794E-2</v>
      </c>
      <c r="AW18" s="945">
        <f>IF(ISNUMBER((Datos!Q18-Datos!R18)/(Datos!S18-Datos!Q18+Datos!R18)),(Datos!Q18-Datos!R18)/(Datos!S18-Datos!Q18+Datos!R18)," - ")</f>
        <v>-0.1112928918930555</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67</v>
      </c>
      <c r="F19" s="950">
        <f t="shared" si="4"/>
        <v>483</v>
      </c>
      <c r="G19" s="950">
        <f t="shared" si="4"/>
        <v>483</v>
      </c>
      <c r="H19" s="950">
        <f t="shared" si="4"/>
        <v>0</v>
      </c>
      <c r="I19" s="951">
        <f t="shared" si="4"/>
        <v>0</v>
      </c>
      <c r="J19" s="952">
        <f t="shared" si="4"/>
        <v>0</v>
      </c>
      <c r="K19" s="952">
        <f t="shared" si="4"/>
        <v>0</v>
      </c>
      <c r="L19" s="952">
        <f t="shared" si="4"/>
        <v>0</v>
      </c>
      <c r="M19" s="952">
        <f t="shared" si="4"/>
        <v>0</v>
      </c>
      <c r="N19" s="951">
        <f t="shared" si="4"/>
        <v>29</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164</v>
      </c>
      <c r="AC19" s="956">
        <f t="shared" si="5"/>
        <v>0</v>
      </c>
      <c r="AD19" s="956">
        <f t="shared" si="5"/>
        <v>0</v>
      </c>
      <c r="AE19" s="956">
        <f t="shared" si="5"/>
        <v>0</v>
      </c>
      <c r="AF19" s="957">
        <f t="shared" si="5"/>
        <v>479</v>
      </c>
      <c r="AG19" s="957">
        <f t="shared" si="5"/>
        <v>0</v>
      </c>
      <c r="AH19" s="957">
        <f t="shared" si="5"/>
        <v>0</v>
      </c>
      <c r="AI19" s="957">
        <f t="shared" si="5"/>
        <v>0</v>
      </c>
      <c r="AJ19" s="958">
        <f t="shared" si="5"/>
        <v>0</v>
      </c>
      <c r="AK19" s="958">
        <f t="shared" si="5"/>
        <v>0</v>
      </c>
      <c r="AL19" s="950">
        <f t="shared" si="5"/>
        <v>35</v>
      </c>
      <c r="AM19" s="950">
        <f t="shared" si="5"/>
        <v>56</v>
      </c>
      <c r="AN19" s="950">
        <f t="shared" si="5"/>
        <v>0</v>
      </c>
      <c r="AO19" s="950">
        <f t="shared" si="5"/>
        <v>0</v>
      </c>
      <c r="AP19" s="950">
        <f>IF(ISNUMBER(((Datos!L19/Datos!K19)*11)/factor_trimestre),((Datos!L19/Datos!K19)*11)/factor_trimestre," - ")</f>
        <v>3.0208341139880841</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-0.33954451345755693</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1.539420518928305E-2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322</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30.004444115275103</v>
      </c>
      <c r="F21" s="735">
        <f>IF(ISNUMBER(STDEV(F8:F18)),STDEV(F8:F18),"-")</f>
        <v>278.86018001858923</v>
      </c>
      <c r="G21" s="736">
        <f>IF(ISNUMBER(STDEV(G8:G18)),STDEV(G8:G18),"-")</f>
        <v>278.86018001858923</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94.685444147098622</v>
      </c>
      <c r="AC21" s="737">
        <f>IF(ISNUMBER(STDEV(AC8:AC18)),STDEV(AC8:AC18),"-")</f>
        <v>0</v>
      </c>
      <c r="AD21" s="740"/>
      <c r="AE21" s="740"/>
      <c r="AF21" s="740"/>
      <c r="AG21" s="740"/>
      <c r="AH21" s="740"/>
      <c r="AI21" s="740"/>
      <c r="AJ21" s="741">
        <f>IF(ISNUMBER(STDEV(AJ8:AJ18)),STDEV(AJ8:AJ18),"-")</f>
        <v>0</v>
      </c>
      <c r="AK21" s="743"/>
      <c r="AL21" s="735">
        <f>IF(ISNUMBER(STDEV(AL8:AL18)),STDEV(AL8:AL18),"-")</f>
        <v>20.207259421636902</v>
      </c>
      <c r="AM21" s="735"/>
      <c r="AN21" s="735">
        <f>IF(ISNUMBER(STDEV(AN8:AN18)),STDEV(AN8:AN18),"-")</f>
        <v>0</v>
      </c>
      <c r="AO21" s="741">
        <f>IF(ISNUMBER(STDEV(AO8:AO18)),STDEV(AO8:AO18),"-")</f>
        <v>0</v>
      </c>
      <c r="AP21" s="778">
        <f>IF(ISNUMBER(STDEV(AP8:AP18)),STDEV(AP8:AP18),"-")</f>
        <v>2.3589610170701425</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09 dic. 2025</v>
      </c>
      <c r="W30"/>
      <c r="X30"/>
    </row>
    <row r="32" spans="1:78">
      <c r="C32" s="773"/>
      <c r="D32" s="773"/>
      <c r="W32"/>
      <c r="X32"/>
    </row>
  </sheetData>
  <sheetProtection algorithmName="SHA-512" hashValue="WCHv84QNYwsKBfKzmz+YDLgzQhKxiLegUzf68N5sZAxAPqnB1hYd1WlveL2Hr0NJp2OfFOzZekqAeOLZ7T8ZzQ==" saltValue="3DSpcovcjh1mH23EMrVP7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CATALUÑA</v>
      </c>
      <c r="C2" s="374"/>
      <c r="E2" s="374"/>
      <c r="F2" s="374"/>
      <c r="G2" s="374"/>
      <c r="H2" s="374"/>
    </row>
    <row r="3" spans="1:15" ht="39">
      <c r="A3" s="414" t="s">
        <v>218</v>
      </c>
      <c r="B3" s="390" t="str">
        <f>Criterios!A10 &amp;"  "&amp;Criterios!B10</f>
        <v>Provincias  BARCELONA</v>
      </c>
      <c r="C3" s="414"/>
      <c r="F3" s="374"/>
      <c r="G3" s="374"/>
      <c r="H3" s="374"/>
    </row>
    <row r="4" spans="1:15" ht="13.5" thickBot="1">
      <c r="A4" s="374"/>
      <c r="B4" s="390" t="str">
        <f>Criterios!A11 &amp;"  "&amp;Criterios!B11</f>
        <v>Resumenes por Partidos Judiciales  BARCELONA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54</v>
      </c>
      <c r="D9" s="402">
        <f>Datos!BK9</f>
        <v>0</v>
      </c>
      <c r="E9" s="402">
        <f>Datos!AQ9</f>
        <v>54</v>
      </c>
      <c r="F9" s="403">
        <f>IF(ISNUMBER(E9/Datos!BH9),E9/Datos!BH9," - ")</f>
        <v>1</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5</v>
      </c>
      <c r="D10" s="402">
        <f>Datos!BK10</f>
        <v>0</v>
      </c>
      <c r="E10" s="402">
        <f>Datos!AQ10</f>
        <v>5</v>
      </c>
      <c r="F10" s="403">
        <f>IF(ISNUMBER(E10/Datos!BH10),E10/Datos!BH10," - ")</f>
        <v>1</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8</v>
      </c>
      <c r="D11" s="402">
        <f>Datos!BK11</f>
        <v>0</v>
      </c>
      <c r="E11" s="402">
        <f>Datos!AQ11</f>
        <v>8</v>
      </c>
      <c r="F11" s="403">
        <f>IF(ISNUMBER(E11/Datos!BH11),E11/Datos!BH11," - ")</f>
        <v>1</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0</v>
      </c>
      <c r="D12" s="402">
        <f>Datos!BK12</f>
        <v>0</v>
      </c>
      <c r="E12" s="402">
        <f>Datos!AQ12</f>
        <v>0</v>
      </c>
      <c r="F12" s="403" t="str">
        <f>IF(ISNUMBER(E12/Datos!BH12),E12/Datos!BH12," - ")</f>
        <v xml:space="preserve"> - </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33</v>
      </c>
      <c r="D15" s="402">
        <f>Datos!BK15</f>
        <v>0</v>
      </c>
      <c r="E15" s="402">
        <f>Datos!AQ15</f>
        <v>33</v>
      </c>
      <c r="F15" s="403">
        <f>IF(ISNUMBER(E15/Datos!BH15),E15/Datos!BH15," - ")</f>
        <v>1</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5</v>
      </c>
      <c r="D17" s="402">
        <f>Datos!BK17</f>
        <v>0</v>
      </c>
      <c r="E17" s="402">
        <f>Datos!AQ17</f>
        <v>5</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09 dic. 2025</v>
      </c>
      <c r="B23" s="390"/>
      <c r="C23" s="390"/>
    </row>
    <row r="27" spans="1:13">
      <c r="A27" s="413"/>
      <c r="B27" s="413"/>
      <c r="C27" s="413"/>
    </row>
  </sheetData>
  <sheetProtection algorithmName="SHA-512" hashValue="jcHprsdu4evFYhSRsUGzHFu718fThPQ3p65RucnhpFh6kwePZW5u6mBfVZMn5mqewBpXMg9o6KVpG7rAhEdfeA==" saltValue="1KXMbuvLyqQ+KqmXJ5Ox1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CATALUÑA</v>
      </c>
      <c r="C2" s="390"/>
    </row>
    <row r="3" spans="1:78" ht="19.5">
      <c r="A3" s="424" t="s">
        <v>11</v>
      </c>
      <c r="B3" s="390" t="str">
        <f>Criterios!A10 &amp;"  "&amp;Criterios!B10</f>
        <v>Provincias  BARCELONA</v>
      </c>
      <c r="C3" s="390"/>
      <c r="D3" s="424"/>
      <c r="BZ3" s="470"/>
    </row>
    <row r="4" spans="1:78" ht="13.5" thickBot="1">
      <c r="B4" s="390" t="str">
        <f>Criterios!A11 &amp;"  "&amp;Criterios!B11</f>
        <v>Resumenes por Partidos Judiciales  BARCELONA</v>
      </c>
      <c r="BZ4" s="470"/>
    </row>
    <row r="5" spans="1:78" ht="15.75" customHeight="1">
      <c r="A5" s="1209" t="str">
        <f>"Año:  " &amp;Criterios!B5 &amp; "                  Trimestre   " &amp;Criterios!D5 &amp; " al " &amp;Criterios!D6</f>
        <v>Año:  2025                  Trimestre   3 al 3</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54</v>
      </c>
      <c r="C9" s="409">
        <f>Datos!AQ9</f>
        <v>54</v>
      </c>
      <c r="D9" s="402">
        <f>IF(ISNUMBER(Datos!M9),Datos!M9," - ")</f>
        <v>5206</v>
      </c>
      <c r="E9" s="403">
        <f t="shared" ref="E9:E13" si="0">IF(ISNUMBER(D9/B9),D9/B9," - ")</f>
        <v>96.407407407407405</v>
      </c>
      <c r="F9" s="402">
        <f>IF(ISNUMBER(Datos!N9),Datos!N9," - ")</f>
        <v>9488</v>
      </c>
      <c r="G9" s="403">
        <f t="shared" ref="G9:G13" si="1">IF(ISNUMBER(F9/B9),F9/B9," - ")</f>
        <v>175.7037037037037</v>
      </c>
      <c r="H9" s="402">
        <f>IF(ISNUMBER(Datos!O9),Datos!O9," - ")</f>
        <v>8352</v>
      </c>
      <c r="I9" s="403">
        <f>IF(ISNUMBER(H9/B9),H9/B9," - ")</f>
        <v>154.66666666666666</v>
      </c>
      <c r="BZ9" s="1185">
        <f>Datos!EZ9</f>
        <v>0</v>
      </c>
    </row>
    <row r="10" spans="1:78">
      <c r="A10" s="401" t="str">
        <f>Datos!A10</f>
        <v>Jdos. Violencia contra la mujer/Secc Viol. TI.</v>
      </c>
      <c r="B10" s="426">
        <f>Datos!AO10</f>
        <v>5</v>
      </c>
      <c r="C10" s="409">
        <f>Datos!AQ10</f>
        <v>5</v>
      </c>
      <c r="D10" s="402">
        <f>IF(ISNUMBER(Datos!M10),Datos!M10," - ")</f>
        <v>35</v>
      </c>
      <c r="E10" s="403">
        <f>IF(ISNUMBER(D10/B10),D10/B10," - ")</f>
        <v>7</v>
      </c>
      <c r="F10" s="402">
        <f>IF(ISNUMBER(Datos!N10),Datos!N10," - ")</f>
        <v>56</v>
      </c>
      <c r="G10" s="403">
        <f>IF(ISNUMBER(F10/B10),F10/B10," - ")</f>
        <v>11.2</v>
      </c>
      <c r="H10" s="402">
        <f>IF(ISNUMBER(Datos!O10),Datos!O10," - ")</f>
        <v>56</v>
      </c>
      <c r="I10" s="403">
        <f t="shared" ref="I10:I12" si="2">IF(ISNUMBER(H10/B10),H10/B10," - ")</f>
        <v>11.2</v>
      </c>
      <c r="BZ10" s="1185">
        <f>Datos!EZ10</f>
        <v>0</v>
      </c>
    </row>
    <row r="11" spans="1:78">
      <c r="A11" s="401" t="str">
        <f>Datos!A11</f>
        <v xml:space="preserve">Jdos. Familia                                   </v>
      </c>
      <c r="B11" s="426">
        <f>Datos!AO11</f>
        <v>8</v>
      </c>
      <c r="C11" s="409">
        <f>Datos!AQ11</f>
        <v>8</v>
      </c>
      <c r="D11" s="402">
        <f>IF(ISNUMBER(Datos!M11),Datos!M11," - ")</f>
        <v>535</v>
      </c>
      <c r="E11" s="403">
        <f t="shared" si="0"/>
        <v>66.875</v>
      </c>
      <c r="F11" s="402">
        <f>IF(ISNUMBER(Datos!N11),Datos!N11," - ")</f>
        <v>490</v>
      </c>
      <c r="G11" s="403">
        <f t="shared" si="1"/>
        <v>61.25</v>
      </c>
      <c r="H11" s="402">
        <f>IF(ISNUMBER(Datos!O11),Datos!O11," - ")</f>
        <v>400</v>
      </c>
      <c r="I11" s="403">
        <f t="shared" si="2"/>
        <v>50</v>
      </c>
      <c r="BZ11" s="1185">
        <f>Datos!EZ11</f>
        <v>0</v>
      </c>
    </row>
    <row r="12" spans="1:78" ht="13.5" thickBot="1">
      <c r="A12" s="401" t="str">
        <f>Datos!A12</f>
        <v xml:space="preserve">Jdos. 1ª Instª. e Instr./Secc. Civil y de Inst. TI                      </v>
      </c>
      <c r="B12" s="426">
        <f>Datos!AO12</f>
        <v>0</v>
      </c>
      <c r="C12" s="409">
        <f>Datos!AQ12</f>
        <v>0</v>
      </c>
      <c r="D12" s="402" t="str">
        <f>IF(ISNUMBER(Datos!M12),Datos!M12," - ")</f>
        <v xml:space="preserve"> - </v>
      </c>
      <c r="E12" s="403" t="str">
        <f t="shared" si="0"/>
        <v xml:space="preserve"> - </v>
      </c>
      <c r="F12" s="402" t="str">
        <f>IF(ISNUMBER(Datos!N12),Datos!N12," - ")</f>
        <v xml:space="preserve"> - </v>
      </c>
      <c r="G12" s="403" t="str">
        <f t="shared" si="1"/>
        <v xml:space="preserve"> - </v>
      </c>
      <c r="H12" s="402" t="str">
        <f>IF(ISNUMBER(Datos!O12),Datos!O12," - ")</f>
        <v xml:space="preserve"> - </v>
      </c>
      <c r="I12" s="403" t="str">
        <f t="shared" si="2"/>
        <v xml:space="preserve"> - </v>
      </c>
      <c r="BZ12" s="1185">
        <f>Datos!EZ12</f>
        <v>0</v>
      </c>
    </row>
    <row r="13" spans="1:78" ht="14.25" thickTop="1" thickBot="1">
      <c r="A13" s="847" t="str">
        <f>Datos!A13</f>
        <v>TOTAL</v>
      </c>
      <c r="B13" s="848">
        <f>Datos!AP13</f>
        <v>67</v>
      </c>
      <c r="C13" s="850">
        <f>Datos!AR13</f>
        <v>67</v>
      </c>
      <c r="D13" s="848">
        <f>SUBTOTAL(9,D9:D12)</f>
        <v>5776</v>
      </c>
      <c r="E13" s="849">
        <f t="shared" si="0"/>
        <v>86.208955223880594</v>
      </c>
      <c r="F13" s="848">
        <f>SUBTOTAL(9,F9:F12)</f>
        <v>10034</v>
      </c>
      <c r="G13" s="849">
        <f t="shared" si="1"/>
        <v>149.76119402985074</v>
      </c>
      <c r="H13" s="848">
        <f>SUBTOTAL(9,H9:H12)</f>
        <v>8808</v>
      </c>
      <c r="I13" s="849">
        <f>IF(ISNUMBER(H13/B13),H13/B13," - ")</f>
        <v>131.46268656716418</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33</v>
      </c>
      <c r="C15" s="427">
        <f>Datos!AQ15</f>
        <v>33</v>
      </c>
      <c r="D15" s="402">
        <f>IF(ISNUMBER(Datos!M15),Datos!M15," - ")</f>
        <v>5723</v>
      </c>
      <c r="E15" s="403">
        <f t="shared" ref="E15:E18" si="3">IF(ISNUMBER(D15/B15),D15/B15," - ")</f>
        <v>173.42424242424244</v>
      </c>
      <c r="F15" s="402">
        <f>IF(ISNUMBER(Datos!N15),Datos!N15," - ")</f>
        <v>16360</v>
      </c>
      <c r="G15" s="403">
        <f t="shared" ref="G15:G18" si="4">IF(ISNUMBER(F15/B15),F15/B15," - ")</f>
        <v>495.75757575757575</v>
      </c>
      <c r="H15" s="402">
        <f>IF(ISNUMBER(Datos!O15),Datos!O15," - ")</f>
        <v>1293</v>
      </c>
      <c r="I15" s="403">
        <f t="shared" ref="I15:I17" si="5">IF(ISNUMBER(H15/B15),H15/B15," - ")</f>
        <v>39.18181818181818</v>
      </c>
      <c r="BZ15" s="1185">
        <f>Datos!EZ15</f>
        <v>0</v>
      </c>
    </row>
    <row r="16" spans="1:78">
      <c r="A16" s="401" t="str">
        <f>Datos!A16</f>
        <v xml:space="preserve">Jdos. 1ª Instª. e Instr./Secc. Civil y de Inst. TI                      </v>
      </c>
      <c r="B16" s="426">
        <f>Datos!AO16</f>
        <v>0</v>
      </c>
      <c r="C16" s="427">
        <f>Datos!AQ16</f>
        <v>0</v>
      </c>
      <c r="D16" s="402" t="str">
        <f>IF(ISNUMBER(Datos!M16),Datos!M16," - ")</f>
        <v xml:space="preserve"> - </v>
      </c>
      <c r="E16" s="403" t="str">
        <f t="shared" si="3"/>
        <v xml:space="preserve"> - </v>
      </c>
      <c r="F16" s="402" t="str">
        <f>IF(ISNUMBER(Datos!N16),Datos!N16," - ")</f>
        <v xml:space="preserve"> - </v>
      </c>
      <c r="G16" s="403" t="str">
        <f t="shared" si="4"/>
        <v xml:space="preserve"> - </v>
      </c>
      <c r="H16" s="402" t="str">
        <f>IF(ISNUMBER(Datos!O16),Datos!O16," - ")</f>
        <v xml:space="preserve"> - </v>
      </c>
      <c r="I16" s="403" t="str">
        <f t="shared" si="5"/>
        <v xml:space="preserve"> - </v>
      </c>
      <c r="BZ16" s="1185">
        <f>Datos!EZ16</f>
        <v>0</v>
      </c>
    </row>
    <row r="17" spans="1:78" ht="13.5" thickBot="1">
      <c r="A17" s="401" t="str">
        <f>Datos!A17</f>
        <v>Jdos. Violencia contra la mujer/Secc Viol. TI.</v>
      </c>
      <c r="B17" s="426">
        <f>Datos!AO17</f>
        <v>5</v>
      </c>
      <c r="C17" s="427">
        <f>Datos!AQ17</f>
        <v>5</v>
      </c>
      <c r="D17" s="402">
        <f>IF(ISNUMBER(Datos!M17),Datos!M17," - ")</f>
        <v>40</v>
      </c>
      <c r="E17" s="403">
        <f>IF(ISNUMBER(D17/B17),D17/B17," - ")</f>
        <v>8</v>
      </c>
      <c r="F17" s="402">
        <f>IF(ISNUMBER(Datos!N17),Datos!N17," - ")</f>
        <v>904</v>
      </c>
      <c r="G17" s="403">
        <f>IF(ISNUMBER(F17/B17),F17/B17," - ")</f>
        <v>180.8</v>
      </c>
      <c r="H17" s="402">
        <f>IF(ISNUMBER(Datos!O17),Datos!O17," - ")</f>
        <v>0</v>
      </c>
      <c r="I17" s="403">
        <f t="shared" si="5"/>
        <v>0</v>
      </c>
      <c r="BZ17" s="1185">
        <f>Datos!EZ17</f>
        <v>0</v>
      </c>
    </row>
    <row r="18" spans="1:78" ht="14.25" thickTop="1" thickBot="1">
      <c r="A18" s="847" t="str">
        <f>Datos!A18</f>
        <v>TOTAL</v>
      </c>
      <c r="B18" s="848">
        <f>Datos!AP18</f>
        <v>38</v>
      </c>
      <c r="C18" s="850">
        <f>Datos!AR18</f>
        <v>38</v>
      </c>
      <c r="D18" s="848">
        <f>SUBTOTAL(9,D15:D17)</f>
        <v>5763</v>
      </c>
      <c r="E18" s="849">
        <f t="shared" si="3"/>
        <v>151.65789473684211</v>
      </c>
      <c r="F18" s="848">
        <f>SUBTOTAL(9,F15:F17)</f>
        <v>17264</v>
      </c>
      <c r="G18" s="849">
        <f t="shared" si="4"/>
        <v>454.31578947368422</v>
      </c>
      <c r="H18" s="848">
        <f>SUBTOTAL(9,H15:H17)</f>
        <v>1293</v>
      </c>
      <c r="I18" s="849">
        <f>IF(ISNUMBER(H18/B18),H18/B18," - ")</f>
        <v>34.026315789473685</v>
      </c>
      <c r="BZ18" s="1185"/>
    </row>
    <row r="19" spans="1:78" ht="14.25" thickTop="1" thickBot="1">
      <c r="A19" s="792" t="str">
        <f>Datos!A19</f>
        <v>TOTAL JURISDICCIONES</v>
      </c>
      <c r="B19" s="793">
        <f>Datos!AP19</f>
        <v>100</v>
      </c>
      <c r="C19" s="793">
        <f>Datos!AR19</f>
        <v>100</v>
      </c>
      <c r="D19" s="793">
        <f>SUBTOTAL(9,D8:D18)</f>
        <v>11539</v>
      </c>
      <c r="E19" s="794">
        <f>IF(ISNUMBER(D19/B19),D19/B19," - ")</f>
        <v>115.39</v>
      </c>
      <c r="F19" s="793">
        <f>SUBTOTAL(9,F8:F18)</f>
        <v>27298</v>
      </c>
      <c r="G19" s="794">
        <f>IF(ISNUMBER(F19/B19),F19/B19," - ")</f>
        <v>272.98</v>
      </c>
      <c r="H19" s="793">
        <f>SUBTOTAL(9,H8:H18)</f>
        <v>10101</v>
      </c>
      <c r="I19" s="794">
        <f>IF(ISNUMBER(H19/B19),H19/B19," - ")</f>
        <v>101.01</v>
      </c>
    </row>
    <row r="22" spans="1:78">
      <c r="A22" s="390" t="str">
        <f>Criterios!A4</f>
        <v>Fecha Informe: 09 dic. 2025</v>
      </c>
    </row>
    <row r="27" spans="1:78">
      <c r="A27" s="413"/>
    </row>
  </sheetData>
  <sheetProtection algorithmName="SHA-512" hashValue="Ap2XZn2qOH8TGslJCptg6jcQHt8F/SjQ1Rp9aQrtN6V3lZitD7b70vCdQlTpAbeWjrm/2vDAvan404n7u6UBKQ==" saltValue="1qqYZC9ouLTH8enr3ZA1b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CATALUÑA</v>
      </c>
    </row>
    <row r="3" spans="1:4" ht="19.5">
      <c r="A3" s="428" t="s">
        <v>32</v>
      </c>
      <c r="B3" s="390" t="str">
        <f>Criterios!A10 &amp;"  "&amp;Criterios!B10</f>
        <v>Provincias  BARCELONA</v>
      </c>
    </row>
    <row r="4" spans="1:4" ht="13.5" thickBot="1">
      <c r="B4" s="390" t="str">
        <f>Criterios!A11 &amp;"  "&amp;Criterios!B11</f>
        <v>Resumenes por Partidos Judiciales  BARCELONA</v>
      </c>
    </row>
    <row r="5" spans="1:4" ht="12.75" customHeight="1">
      <c r="A5" s="1209" t="str">
        <f>"Año:  " &amp;Criterios!B5 &amp; "                  Trimestre   " &amp;Criterios!D5 &amp; " al " &amp;Criterios!D6</f>
        <v>Año:  2025                  Trimestre   3 al 3</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f>IF(ISNUMBER(Datos!P9),Datos!P9," - ")</f>
        <v>9522</v>
      </c>
      <c r="C9" s="433">
        <f>IF(ISNUMBER(Datos!Q9),Datos!Q9," - ")</f>
        <v>8244</v>
      </c>
      <c r="D9" s="407">
        <f>IF(ISNUMBER(Datos!R9),Datos!R9," - ")</f>
        <v>83086</v>
      </c>
    </row>
    <row r="10" spans="1:4">
      <c r="A10" s="401" t="str">
        <f>Datos!A10</f>
        <v>Jdos. Violencia contra la mujer/Secc Viol. TI.</v>
      </c>
      <c r="B10" s="432">
        <f>IF(ISNUMBER(Datos!P10),Datos!P10," - ")</f>
        <v>29</v>
      </c>
      <c r="C10" s="433">
        <f>IF(ISNUMBER(Datos!Q10),Datos!Q10," - ")</f>
        <v>40</v>
      </c>
      <c r="D10" s="407">
        <f>IF(ISNUMBER(Datos!R10),Datos!R10," - ")</f>
        <v>587</v>
      </c>
    </row>
    <row r="11" spans="1:4">
      <c r="A11" s="401" t="str">
        <f>Datos!A11</f>
        <v xml:space="preserve">Jdos. Familia                                   </v>
      </c>
      <c r="B11" s="432">
        <f>IF(ISNUMBER(Datos!P11),Datos!P11," - ")</f>
        <v>207</v>
      </c>
      <c r="C11" s="433">
        <f>IF(ISNUMBER(Datos!Q11),Datos!Q11," - ")</f>
        <v>304</v>
      </c>
      <c r="D11" s="407">
        <f>IF(ISNUMBER(Datos!R11),Datos!R11," - ")</f>
        <v>2899</v>
      </c>
    </row>
    <row r="12" spans="1:4" ht="13.5" thickBot="1">
      <c r="A12" s="401" t="str">
        <f>Datos!A12</f>
        <v xml:space="preserve">Jdos. 1ª Instª. e Instr./Secc. Civil y de Inst. TI                      </v>
      </c>
      <c r="B12" s="432" t="str">
        <f>IF(ISNUMBER(Datos!P12),Datos!P12," - ")</f>
        <v xml:space="preserve"> - </v>
      </c>
      <c r="C12" s="433" t="str">
        <f>IF(ISNUMBER(Datos!Q12),Datos!Q12," - ")</f>
        <v xml:space="preserve"> - </v>
      </c>
      <c r="D12" s="407" t="str">
        <f>IF(ISNUMBER(Datos!R12),Datos!R12," - ")</f>
        <v xml:space="preserve"> - </v>
      </c>
    </row>
    <row r="13" spans="1:4" ht="14.25" thickTop="1" thickBot="1">
      <c r="A13" s="847" t="str">
        <f>Datos!A13</f>
        <v>TOTAL</v>
      </c>
      <c r="B13" s="848">
        <f>SUBTOTAL(9,B9:B12)</f>
        <v>9758</v>
      </c>
      <c r="C13" s="852">
        <f>SUBTOTAL(9,C9:C12)</f>
        <v>8588</v>
      </c>
      <c r="D13" s="850">
        <f>SUBTOTAL(9,D9:D12)</f>
        <v>86572</v>
      </c>
    </row>
    <row r="14" spans="1:4" ht="13.5" thickTop="1">
      <c r="A14" s="395" t="str">
        <f>Datos!A14</f>
        <v xml:space="preserve">Jurisdicción Penal ( 2 ):                      </v>
      </c>
      <c r="B14" s="405"/>
      <c r="C14" s="434"/>
      <c r="D14" s="407"/>
    </row>
    <row r="15" spans="1:4">
      <c r="A15" s="401" t="str">
        <f>Datos!A15</f>
        <v xml:space="preserve">Jdos. Instrucción                               </v>
      </c>
      <c r="B15" s="432">
        <f>IF(ISNUMBER(Datos!P15),Datos!P15," - ")</f>
        <v>2268</v>
      </c>
      <c r="C15" s="433">
        <f>IF(ISNUMBER(Datos!Q15),Datos!Q15," - ")</f>
        <v>2063</v>
      </c>
      <c r="D15" s="407">
        <f>IF(ISNUMBER(Datos!R15),Datos!R15," - ")</f>
        <v>4633</v>
      </c>
    </row>
    <row r="16" spans="1:4">
      <c r="A16" s="401" t="str">
        <f>Datos!A16</f>
        <v xml:space="preserve">Jdos. 1ª Instª. e Instr./Secc. Civil y de Inst. TI                      </v>
      </c>
      <c r="B16" s="432" t="str">
        <f>IF(ISNUMBER(Datos!P16),Datos!P16," - ")</f>
        <v xml:space="preserve"> - </v>
      </c>
      <c r="C16" s="433" t="str">
        <f>IF(ISNUMBER(Datos!Q16),Datos!Q16," - ")</f>
        <v xml:space="preserve"> - </v>
      </c>
      <c r="D16" s="407" t="str">
        <f>IF(ISNUMBER(Datos!R16),Datos!R16," - ")</f>
        <v xml:space="preserve"> - </v>
      </c>
    </row>
    <row r="17" spans="1:4" ht="13.5" thickBot="1">
      <c r="A17" s="401" t="str">
        <f>Datos!A17</f>
        <v>Jdos. Violencia contra la mujer/Secc Viol. TI.</v>
      </c>
      <c r="B17" s="432">
        <f>IF(ISNUMBER(Datos!P17),Datos!P17," - ")</f>
        <v>10</v>
      </c>
      <c r="C17" s="433">
        <f>IF(ISNUMBER(Datos!Q17),Datos!Q17," - ")</f>
        <v>2</v>
      </c>
      <c r="D17" s="407">
        <f>IF(ISNUMBER(Datos!R17),Datos!R17," - ")</f>
        <v>17</v>
      </c>
    </row>
    <row r="18" spans="1:4" ht="14.25" thickTop="1" thickBot="1">
      <c r="A18" s="847" t="str">
        <f>Datos!A18</f>
        <v>TOTAL</v>
      </c>
      <c r="B18" s="848">
        <f>SUBTOTAL(9,B15:B17)</f>
        <v>2278</v>
      </c>
      <c r="C18" s="852">
        <f>SUBTOTAL(9,C15:C17)</f>
        <v>2065</v>
      </c>
      <c r="D18" s="850">
        <f>SUBTOTAL(9,D15:D17)</f>
        <v>4650</v>
      </c>
    </row>
    <row r="19" spans="1:4" ht="16.5" customHeight="1" thickTop="1" thickBot="1">
      <c r="A19" s="792" t="str">
        <f>Datos!A19</f>
        <v>TOTAL JURISDICCIONES</v>
      </c>
      <c r="B19" s="797">
        <f>SUBTOTAL(9,B8:B18)</f>
        <v>12036</v>
      </c>
      <c r="C19" s="798">
        <f>SUBTOTAL(9,C8:C18)</f>
        <v>10653</v>
      </c>
      <c r="D19" s="799">
        <f>SUBTOTAL(9,D8:D18)</f>
        <v>91222</v>
      </c>
    </row>
    <row r="20" spans="1:4" ht="7.5" customHeight="1"/>
    <row r="21" spans="1:4" ht="6" customHeight="1"/>
    <row r="22" spans="1:4">
      <c r="A22" s="390" t="str">
        <f>Criterios!A4</f>
        <v>Fecha Informe: 09 dic. 2025</v>
      </c>
    </row>
    <row r="27" spans="1:4">
      <c r="A27" s="413"/>
    </row>
  </sheetData>
  <sheetProtection algorithmName="SHA-512" hashValue="p7HMK6YhWvcv8A9RADUa4ypPBkobJqdKgIex5jajLolo4Zuu7ywSe6trhuQoYUxHsSf4oNPwKkA2vylF2IyHxQ==" saltValue="QeUi18PI4EgOnEZCX9xlT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CATALUÑA</v>
      </c>
    </row>
    <row r="3" spans="1:11" ht="18.75" customHeight="1">
      <c r="A3" s="428" t="s">
        <v>118</v>
      </c>
      <c r="B3" s="390" t="str">
        <f>Criterios!A10 &amp;"  "&amp;Criterios!B10</f>
        <v>Provincias  BARCELONA</v>
      </c>
    </row>
    <row r="4" spans="1:11" ht="10.5" customHeight="1" thickBot="1">
      <c r="B4" s="390" t="str">
        <f>Criterios!A11 &amp;"  "&amp;Criterios!B11</f>
        <v>Resumenes por Partidos Judiciales  BARCELONA</v>
      </c>
    </row>
    <row r="5" spans="1:11" ht="12.75" customHeight="1">
      <c r="A5" s="1209" t="str">
        <f>"Año:  " &amp;Criterios!B5 &amp; "    Trimestre   " &amp;Criterios!D5 &amp; " al " &amp;Criterios!D6</f>
        <v>Año:  2025    Trimestre   3 al 3</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f>IF(ISNUMBER(
   IF(J_V="SI",(Datos!I9-Datos!S9)/Datos!S9,(Datos!I9+Datos!Y9-(Datos!S9+Datos!AG9))/(Datos!S9+Datos!AG9))
     ),IF(J_V="SI",(Datos!I9-Datos!S9)/Datos!S9,(Datos!I9+Datos!Y9-(Datos!S9+Datos!AG9))/(Datos!S9+Datos!AG9))," - ")</f>
        <v>6.633831586583433E-2</v>
      </c>
      <c r="C9" s="455">
        <f>IF(ISNUMBER(
   IF(J_V="SI",(Datos!J9-Datos!T9)/Datos!T9,(Datos!J9+Datos!Z9-(Datos!T9+Datos!AH9))/(Datos!T9+Datos!AH9))
     ),IF(J_V="SI",(Datos!J9-Datos!T9)/Datos!T9,(Datos!J9+Datos!Z9-(Datos!T9+Datos!AH9))/(Datos!T9+Datos!AH9))," - ")</f>
        <v>-0.1832258064516129</v>
      </c>
      <c r="D9" s="455">
        <f>IF(ISNUMBER(
   IF(J_V="SI",(Datos!K9-Datos!U9)/Datos!U9,(Datos!K9+Datos!AA9-(Datos!U9+Datos!AI9))/(Datos!U9+Datos!AI9))
     ),IF(J_V="SI",(Datos!K9-Datos!U9)/Datos!U9,(Datos!K9+Datos!AA9-(Datos!U9+Datos!AI9))/(Datos!U9+Datos!AI9))," - ")</f>
        <v>9.2616720955483164E-2</v>
      </c>
      <c r="E9" s="455">
        <f>IF(ISNUMBER(
   IF(J_V="SI",(Datos!L9-Datos!V9)/Datos!V9,(Datos!L9+Datos!AB9-(Datos!V9+Datos!AJ9))/(Datos!V9+Datos!AJ9))
     ),IF(J_V="SI",(Datos!L9-Datos!V9)/Datos!V9,(Datos!L9+Datos!AB9-(Datos!V9+Datos!AJ9))/(Datos!V9+Datos!AJ9))," - ")</f>
        <v>-3.3050518493872347E-2</v>
      </c>
      <c r="F9" s="455">
        <f>IF(ISNUMBER((Datos!M9-Datos!W9)/Datos!W9),(Datos!M9-Datos!W9)/Datos!W9," - ")</f>
        <v>5.9903381642512077E-3</v>
      </c>
      <c r="G9" s="456">
        <f>IF(ISNUMBER((Datos!N9-Datos!X9)/Datos!X9),(Datos!N9-Datos!X9)/Datos!X9," - ")</f>
        <v>0.17731728502295571</v>
      </c>
      <c r="H9" s="454">
        <f>IF(ISNUMBER(((NºAsuntos!G9/NºAsuntos!E9)-Datos!BD9)/Datos!BD9),((NºAsuntos!G9/NºAsuntos!E9)-Datos!BD9)/Datos!BD9," - ")</f>
        <v>0.33772189374486489</v>
      </c>
      <c r="I9" s="455">
        <f>IF(ISNUMBER(((NºAsuntos!I9/NºAsuntos!G9)-Datos!BE9)/Datos!BE9),((NºAsuntos!I9/NºAsuntos!G9)-Datos!BE9)/Datos!BE9," - ")</f>
        <v>-0.11501493345210814</v>
      </c>
      <c r="J9" s="460">
        <f>IF(ISNUMBER((('Resol  Asuntos'!D9/NºAsuntos!G9)-Datos!BF9)/Datos!BF9),(('Resol  Asuntos'!D9/NºAsuntos!G9)-Datos!BF9)/Datos!BF9," - ")</f>
        <v>-0.4087717660412068</v>
      </c>
      <c r="K9" s="461">
        <f>IF(ISNUMBER((((NºAsuntos!C9+NºAsuntos!E9)/NºAsuntos!G9)-Datos!BG9)/Datos!BG9),(((NºAsuntos!C9+NºAsuntos!E9)/NºAsuntos!G9)-Datos!BG9)/Datos!BG9," - ")</f>
        <v>-8.7504118152121876E-2</v>
      </c>
    </row>
    <row r="10" spans="1:11" ht="21">
      <c r="A10" s="401" t="str">
        <f>Datos!A10</f>
        <v>Jdos. Violencia contra la mujer/Secc Viol. TI.</v>
      </c>
      <c r="B10" s="454">
        <f>IF(ISNUMBER((Datos!I10-Datos!S10)/Datos!S10),(Datos!I10-Datos!S10)/Datos!S10," - ")</f>
        <v>-5.6640625E-2</v>
      </c>
      <c r="C10" s="455">
        <f>IF(ISNUMBER((Datos!J10-Datos!T10)/Datos!T10),(Datos!J10-Datos!T10)/Datos!T10," - ")</f>
        <v>1.9108280254777069E-2</v>
      </c>
      <c r="D10" s="455">
        <f>IF(ISNUMBER((Datos!K10-Datos!U10)/Datos!U10),(Datos!K10-Datos!U10)/Datos!U10," - ")</f>
        <v>7.1895424836601302E-2</v>
      </c>
      <c r="E10" s="455">
        <f>IF(ISNUMBER((Datos!L10-Datos!V10)/Datos!V10),(Datos!L10-Datos!V10)/Datos!V10," - ")</f>
        <v>-7.170542635658915E-2</v>
      </c>
      <c r="F10" s="455">
        <f>IF(ISNUMBER((Datos!M10-Datos!W10)/Datos!W10),(Datos!M10-Datos!W10)/Datos!W10," - ")</f>
        <v>-0.16666666666666666</v>
      </c>
      <c r="G10" s="456">
        <f>IF(ISNUMBER((Datos!N10-Datos!X10)/Datos!X10),(Datos!N10-Datos!X10)/Datos!X10," - ")</f>
        <v>-0.21126760563380281</v>
      </c>
      <c r="H10" s="454">
        <f>IF(ISNUMBER(((NºAsuntos!G10/NºAsuntos!E10)-Datos!BD10)/Datos!BD10),((NºAsuntos!G10/NºAsuntos!E10)-Datos!BD10)/Datos!BD10," - ")</f>
        <v>5.1797385620914939E-2</v>
      </c>
      <c r="I10" s="455">
        <f>IF(ISNUMBER(((NºAsuntos!I10/NºAsuntos!G10)-Datos!BE10)/Datos!BE10),((NºAsuntos!I10/NºAsuntos!G10)-Datos!BE10)/Datos!BE10," - ")</f>
        <v>-0.13396908678389105</v>
      </c>
      <c r="J10" s="460">
        <f>IF(ISNUMBER((('Resol  Asuntos'!D10/NºAsuntos!G10)-Datos!BF10)/Datos!BF10),(('Resol  Asuntos'!D10/NºAsuntos!G10)-Datos!BF10)/Datos!BF10," - ")</f>
        <v>-0.22256097560975618</v>
      </c>
      <c r="K10" s="461">
        <f>IF(ISNUMBER((((NºAsuntos!C10+NºAsuntos!E10)/NºAsuntos!G10)-Datos!BG10)/Datos!BG10),(((NºAsuntos!C10+NºAsuntos!E10)/NºAsuntos!G10)-Datos!BG10)/Datos!BG10," - ")</f>
        <v>-0.10333041671223875</v>
      </c>
    </row>
    <row r="11" spans="1:11">
      <c r="A11" s="401" t="str">
        <f>Datos!A11</f>
        <v xml:space="preserve">Jdos. Familia                                   </v>
      </c>
      <c r="B11" s="454">
        <f>IF(ISNUMBER(
   IF(J_V="SI",(Datos!I11-Datos!S11)/Datos!S11,(Datos!I11+Datos!Y11-(Datos!S11+Datos!AG11))/(Datos!S11+Datos!AG11))
     ),IF(J_V="SI",(Datos!I11-Datos!S11)/Datos!S11,(Datos!I11+Datos!Y11-(Datos!S11+Datos!AG11))/(Datos!S11+Datos!AG11))," - ")</f>
        <v>-5.1591289782244559E-2</v>
      </c>
      <c r="C11" s="455">
        <f>IF(ISNUMBER(
   IF(J_V="SI",(Datos!J11-Datos!T11)/Datos!T11,(Datos!J11+Datos!Z11-(Datos!T11+Datos!AH11))/(Datos!T11+Datos!AH11))
     ),IF(J_V="SI",(Datos!J11-Datos!T11)/Datos!T11,(Datos!J11+Datos!Z11-(Datos!T11+Datos!AH11))/(Datos!T11+Datos!AH11))," - ")</f>
        <v>-0.11007957559681697</v>
      </c>
      <c r="D11" s="455">
        <f>IF(ISNUMBER(
   IF(J_V="SI",(Datos!K11-Datos!U11)/Datos!U11,(Datos!K11+Datos!AA11-(Datos!U11+Datos!AI11))/(Datos!U11+Datos!AI11))
     ),IF(J_V="SI",(Datos!K11-Datos!U11)/Datos!U11,(Datos!K11+Datos!AA11-(Datos!U11+Datos!AI11))/(Datos!U11+Datos!AI11))," - ")</f>
        <v>-4.6315789473684213E-2</v>
      </c>
      <c r="E11" s="455">
        <f>IF(ISNUMBER(
   IF(J_V="SI",(Datos!L11-Datos!V11)/Datos!V11,(Datos!L11+Datos!AB11-(Datos!V11+Datos!AJ11))/(Datos!V11+Datos!AJ11))
     ),IF(J_V="SI",(Datos!L11-Datos!V11)/Datos!V11,(Datos!L11+Datos!AB11-(Datos!V11+Datos!AJ11))/(Datos!V11+Datos!AJ11))," - ")</f>
        <v>-6.8764190723321433E-2</v>
      </c>
      <c r="F11" s="455">
        <f>IF(ISNUMBER((Datos!M11-Datos!W11)/Datos!W11),(Datos!M11-Datos!W11)/Datos!W11," - ")</f>
        <v>-5.1418439716312055E-2</v>
      </c>
      <c r="G11" s="456">
        <f>IF(ISNUMBER((Datos!N11-Datos!X11)/Datos!X11),(Datos!N11-Datos!X11)/Datos!X11," - ")</f>
        <v>7.9295154185022032E-2</v>
      </c>
      <c r="H11" s="454">
        <f>IF(ISNUMBER(((NºAsuntos!G11/NºAsuntos!E11)-Datos!BD11)/Datos!BD11),((NºAsuntos!G11/NºAsuntos!E11)-Datos!BD11)/Datos!BD11," - ")</f>
        <v>7.1651109890971731E-2</v>
      </c>
      <c r="I11" s="455">
        <f>IF(ISNUMBER(((NºAsuntos!I11/NºAsuntos!G11)-Datos!BE11)/Datos!BE11),((NºAsuntos!I11/NºAsuntos!G11)-Datos!BE11)/Datos!BE11," - ")</f>
        <v>-2.3538610581849303E-2</v>
      </c>
      <c r="J11" s="460">
        <f>IF(ISNUMBER((('Resol  Asuntos'!D11/NºAsuntos!G11)-Datos!BF11)/Datos!BF11),(('Resol  Asuntos'!D11/NºAsuntos!G11)-Datos!BF11)/Datos!BF11," - ")</f>
        <v>0.23564392060759892</v>
      </c>
      <c r="K11" s="461">
        <f>IF(ISNUMBER((((NºAsuntos!C11+NºAsuntos!E11)/NºAsuntos!G11)-Datos!BG11)/Datos!BG11),(((NºAsuntos!C11+NºAsuntos!E11)/NºAsuntos!G11)-Datos!BG11)/Datos!BG11," - ")</f>
        <v>-2.6115679578092844E-2</v>
      </c>
    </row>
    <row r="12" spans="1:11" ht="21.75" thickBot="1">
      <c r="A12" s="401" t="str">
        <f>Datos!A12</f>
        <v xml:space="preserve">Jdos. 1ª Instª. e Instr./Secc. Civil y de Inst. TI                      </v>
      </c>
      <c r="B12" s="454" t="str">
        <f>IF(ISNUMBER(
   IF(J_V="SI",(Datos!I12-Datos!S12)/Datos!S12,(Datos!I12+Datos!Y12-(Datos!S12+Datos!AG12))/(Datos!S12+Datos!AG12))
     ),IF(J_V="SI",(Datos!I12-Datos!S12)/Datos!S12,(Datos!I12+Datos!Y12-(Datos!S12+Datos!AG12))/(Datos!S12+Datos!AG12))," - ")</f>
        <v xml:space="preserve"> - </v>
      </c>
      <c r="C12" s="455" t="str">
        <f>IF(ISNUMBER(
   IF(J_V="SI",(Datos!J12-Datos!T12)/Datos!T12,(Datos!J12+Datos!Z12-(Datos!T12+Datos!AH12))/(Datos!T12+Datos!AH12))
     ),IF(J_V="SI",(Datos!J12-Datos!T12)/Datos!T12,(Datos!J12+Datos!Z12-(Datos!T12+Datos!AH12))/(Datos!T12+Datos!AH12))," - ")</f>
        <v xml:space="preserve"> - </v>
      </c>
      <c r="D12" s="455" t="str">
        <f>IF(ISNUMBER(
   IF(J_V="SI",(Datos!K12-Datos!U12)/Datos!U12,(Datos!K12+Datos!AA12-(Datos!U12+Datos!AI12))/(Datos!U12+Datos!AI12))
     ),IF(J_V="SI",(Datos!K12-Datos!U12)/Datos!U12,(Datos!K12+Datos!AA12-(Datos!U12+Datos!AI12))/(Datos!U12+Datos!AI12))," - ")</f>
        <v xml:space="preserve"> - </v>
      </c>
      <c r="E12" s="455" t="str">
        <f>IF(ISNUMBER(
   IF(J_V="SI",(Datos!L12-Datos!V12)/Datos!V12,(Datos!L12+Datos!AB12-(Datos!V12+Datos!AJ12))/(Datos!V12+Datos!AJ12))
     ),IF(J_V="SI",(Datos!L12-Datos!V12)/Datos!V12,(Datos!L12+Datos!AB12-(Datos!V12+Datos!AJ12))/(Datos!V12+Datos!AJ12))," - ")</f>
        <v xml:space="preserve"> - </v>
      </c>
      <c r="F12" s="455" t="str">
        <f>IF(ISNUMBER((Datos!M12-Datos!W12)/Datos!W12),(Datos!M12-Datos!W12)/Datos!W12," - ")</f>
        <v xml:space="preserve"> - </v>
      </c>
      <c r="G12" s="456" t="str">
        <f>IF(ISNUMBER((Datos!N12-Datos!X12)/Datos!X12),(Datos!N12-Datos!X12)/Datos!X12," - ")</f>
        <v xml:space="preserve"> - </v>
      </c>
      <c r="H12" s="454" t="str">
        <f>IF(ISNUMBER(((NºAsuntos!G12/NºAsuntos!E12)-Datos!BD12)/Datos!BD12),((NºAsuntos!G12/NºAsuntos!E12)-Datos!BD12)/Datos!BD12," - ")</f>
        <v xml:space="preserve"> - </v>
      </c>
      <c r="I12" s="455" t="str">
        <f>IF(ISNUMBER(((NºAsuntos!I12/NºAsuntos!G12)-Datos!BE12)/Datos!BE12),((NºAsuntos!I12/NºAsuntos!G12)-Datos!BE12)/Datos!BE12," - ")</f>
        <v xml:space="preserve"> - </v>
      </c>
      <c r="J12" s="460" t="str">
        <f>IF(ISNUMBER((('Resol  Asuntos'!D12/NºAsuntos!G12)-Datos!BF12)/Datos!BF12),(('Resol  Asuntos'!D12/NºAsuntos!G12)-Datos!BF12)/Datos!BF12," - ")</f>
        <v xml:space="preserve"> - </v>
      </c>
      <c r="K12" s="461" t="str">
        <f>IF(ISNUMBER((((NºAsuntos!C12+NºAsuntos!E12)/NºAsuntos!G12)-Datos!BG12)/Datos!BG12),(((NºAsuntos!C12+NºAsuntos!E12)/NºAsuntos!G12)-Datos!BG12)/Datos!BG12," - ")</f>
        <v xml:space="preserve"> - </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5.8911954187544739E-2</v>
      </c>
      <c r="C13" s="854">
        <f>IF(ISNUMBER(
   IF(J_V="SI",(Datos!J13-Datos!T13)/Datos!T13,(Datos!J13+Datos!Z13-(Datos!T13+Datos!AH13))/(Datos!T13+Datos!AH13))
     ),IF(J_V="SI",(Datos!J13-Datos!T13)/Datos!T13,(Datos!J13+Datos!Z13-(Datos!T13+Datos!AH13))/(Datos!T13+Datos!AH13))," - ")</f>
        <v>-0.17671327068530829</v>
      </c>
      <c r="D13" s="854">
        <f>IF(ISNUMBER(
   IF(J_V="SI",(Datos!K13-Datos!U13)/Datos!U13,(Datos!K13+Datos!AA13-(Datos!U13+Datos!AI13))/(Datos!U13+Datos!AI13))
     ),IF(J_V="SI",(Datos!K13-Datos!U13)/Datos!U13,(Datos!K13+Datos!AA13-(Datos!U13+Datos!AI13))/(Datos!U13+Datos!AI13))," - ")</f>
        <v>8.2558255825582558E-2</v>
      </c>
      <c r="E13" s="854">
        <f>IF(ISNUMBER(
   IF(J_V="SI",(Datos!L13-Datos!V13)/Datos!V13,(Datos!L13+Datos!AB13-(Datos!V13+Datos!AJ13))/(Datos!V13+Datos!AJ13))
     ),IF(J_V="SI",(Datos!L13-Datos!V13)/Datos!V13,(Datos!L13+Datos!AB13-(Datos!V13+Datos!AJ13))/(Datos!V13+Datos!AJ13))," - ")</f>
        <v>-3.5304516621026724E-2</v>
      </c>
      <c r="F13" s="855">
        <f>IF(ISNUMBER((Datos!M13-Datos!W13)/Datos!W13),(Datos!M13-Datos!W13)/Datos!W13," - ")</f>
        <v>-8.6490226604393706E-4</v>
      </c>
      <c r="G13" s="856">
        <f>IF(ISNUMBER((Datos!N13-Datos!X13)/Datos!X13),(Datos!N13-Datos!X13)/Datos!X13," - ")</f>
        <v>0.16891891891891891</v>
      </c>
      <c r="H13" s="856">
        <f>IF(ISNUMBER(((NºAsuntos!G13/NºAsuntos!E13)-Datos!BD13)/Datos!BD13),((NºAsuntos!G13/NºAsuntos!E13)-Datos!BD13)/Datos!BD13," - ")</f>
        <v>0.31492251396631865</v>
      </c>
      <c r="I13" s="856">
        <f>IF(ISNUMBER(((NºAsuntos!I13/NºAsuntos!G13)-Datos!BE13)/Datos!BE13),((NºAsuntos!I13/NºAsuntos!G13)-Datos!BE13)/Datos!BE13," - ")</f>
        <v>-0.10887430012413006</v>
      </c>
      <c r="J13" s="856">
        <f>IF(ISNUMBER((('Resol  Asuntos'!D13/NºAsuntos!G13)-Datos!BF13)/Datos!BF13),(('Resol  Asuntos'!D13/NºAsuntos!G13)-Datos!BF13)/Datos!BF13," - ")</f>
        <v>-0.37632850602807305</v>
      </c>
      <c r="K13" s="856">
        <f>IF(ISNUMBER((((NºAsuntos!C13+NºAsuntos!E13)/NºAsuntos!G13)-Datos!BG13)/Datos!BG13),(((NºAsuntos!C13+NºAsuntos!E13)/NºAsuntos!G13)-Datos!BG13)/Datos!BG13," - ")</f>
        <v>-8.2955849153563785E-2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f>IF(ISNUMBER(
   IF(D_I="SI",(Datos!I15-Datos!S15)/Datos!S15,(Datos!I15+Datos!AC15-(Datos!S15+Datos!AK15))/(Datos!S15+Datos!AK15))
     ),IF(D_I="SI",(Datos!I15-Datos!S15)/Datos!S15,(Datos!I15+Datos!AC15-(Datos!S15+Datos!AK15))/(Datos!S15+Datos!AK15))," - ")</f>
        <v>0.15504933865211001</v>
      </c>
      <c r="C15" s="455">
        <f>IF(ISNUMBER(
   IF(D_I="SI",(Datos!J15-Datos!T15)/Datos!T15,(Datos!J15+Datos!AD15-(Datos!T15+Datos!AL15))/(Datos!T15+Datos!AL15))
     ),IF(D_I="SI",(Datos!J15-Datos!T15)/Datos!T15,(Datos!J15+Datos!AD15-(Datos!T15+Datos!AL15))/(Datos!T15+Datos!AL15))," - ")</f>
        <v>9.0759493670886079E-2</v>
      </c>
      <c r="D15" s="455">
        <f>IF(ISNUMBER(
   IF(D_I="SI",(Datos!K15-Datos!U15)/Datos!U15,(Datos!K15+Datos!AE15-(Datos!U15+Datos!AM15))/(Datos!U15+Datos!AM15))
     ),IF(D_I="SI",(Datos!K15-Datos!U15)/Datos!U15,(Datos!K15+Datos!AE15-(Datos!U15+Datos!AM15))/(Datos!U15+Datos!AM15))," - ")</f>
        <v>7.1984435797665364E-2</v>
      </c>
      <c r="E15" s="455">
        <f>IF(ISNUMBER(
   IF(D_I="SI",(Datos!L15-Datos!V15)/Datos!V15,(Datos!L15+Datos!AF15-(Datos!V15+Datos!AN15))/(Datos!V15+Datos!AN15))
     ),IF(D_I="SI",(Datos!L15-Datos!V15)/Datos!V15,(Datos!L15+Datos!AF15-(Datos!V15+Datos!AN15))/(Datos!V15+Datos!AN15))," - ")</f>
        <v>0.15616565844578875</v>
      </c>
      <c r="F15" s="455">
        <f>IF(ISNUMBER((Datos!M15-Datos!W15)/Datos!W15),(Datos!M15-Datos!W15)/Datos!W15," - ")</f>
        <v>0.2611282503305421</v>
      </c>
      <c r="G15" s="456">
        <f>IF(ISNUMBER((Datos!N15-Datos!X15)/Datos!X15),(Datos!N15-Datos!X15)/Datos!X15," - ")</f>
        <v>1.7757638846365807E-3</v>
      </c>
      <c r="H15" s="454">
        <f>IF(ISNUMBER(((NºAsuntos!G15/NºAsuntos!E15)-Datos!BD15)/Datos!BD15),((NºAsuntos!G15/NºAsuntos!E15)-Datos!BD15)/Datos!BD15," - ")</f>
        <v>-1.7212830126313541E-2</v>
      </c>
      <c r="I15" s="455">
        <f>IF(ISNUMBER(((NºAsuntos!I15/NºAsuntos!G15)-Datos!BE15)/Datos!BE15),((NºAsuntos!I15/NºAsuntos!G15)-Datos!BE15)/Datos!BE15," - ")</f>
        <v>7.8528400074655891E-2</v>
      </c>
      <c r="J15" s="460">
        <f>IF(ISNUMBER((('Resol  Asuntos'!D15/NºAsuntos!G15)-Datos!BF15)/Datos!BF15),(('Resol  Asuntos'!D15/NºAsuntos!G15)-Datos!BF15)/Datos!BF15," - ")</f>
        <v>0.17644268724119525</v>
      </c>
      <c r="K15" s="461">
        <f>IF(ISNUMBER((((NºAsuntos!C15+NºAsuntos!E15)/NºAsuntos!G15)-Datos!BG15)/Datos!BG15),(((NºAsuntos!C15+NºAsuntos!E15)/NºAsuntos!G15)-Datos!BG15)/Datos!BG15," - ")</f>
        <v>4.007215958349572E-2</v>
      </c>
    </row>
    <row r="16" spans="1:11" ht="21">
      <c r="A16" s="401" t="str">
        <f>Datos!A16</f>
        <v xml:space="preserve">Jdos. 1ª Instª. e Instr./Secc. Civil y de Inst. TI                      </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-4.4025157232704401E-3</v>
      </c>
      <c r="C17" s="455">
        <f>IF(ISNUMBER(
   IF(D_I="SI",(Datos!J17-Datos!T17)/Datos!T17,(Datos!J17+Datos!AD17-(Datos!T17+Datos!AL17))/(Datos!T17+Datos!AL17))
     ),IF(D_I="SI",(Datos!J17-Datos!T17)/Datos!T17,(Datos!J17+Datos!AD17-(Datos!T17+Datos!AL17))/(Datos!T17+Datos!AL17))," - ")</f>
        <v>3.2171581769436996E-3</v>
      </c>
      <c r="D17" s="455">
        <f>IF(ISNUMBER(
   IF(D_I="SI",(Datos!K17-Datos!U17)/Datos!U17,(Datos!K17+Datos!AE17-(Datos!U17+Datos!AM17))/(Datos!U17+Datos!AM17))
     ),IF(D_I="SI",(Datos!K17-Datos!U17)/Datos!U17,(Datos!K17+Datos!AE17-(Datos!U17+Datos!AM17))/(Datos!U17+Datos!AM17))," - ")</f>
        <v>-5.3160070880094506E-3</v>
      </c>
      <c r="E17" s="455">
        <f>IF(ISNUMBER(
   IF(D_I="SI",(Datos!L17-Datos!V17)/Datos!V17,(Datos!L17+Datos!AF17-(Datos!V17+Datos!AN17))/(Datos!V17+Datos!AN17))
     ),IF(D_I="SI",(Datos!L17-Datos!V17)/Datos!V17,(Datos!L17+Datos!AF17-(Datos!V17+Datos!AN17))/(Datos!V17+Datos!AN17))," - ")</f>
        <v>1.189127972819932E-2</v>
      </c>
      <c r="F17" s="455">
        <f>IF(ISNUMBER((Datos!M17-Datos!W17)/Datos!W17),(Datos!M17-Datos!W17)/Datos!W17," - ")</f>
        <v>-0.16666666666666666</v>
      </c>
      <c r="G17" s="456">
        <f>IF(ISNUMBER((Datos!N17-Datos!X17)/Datos!X17),(Datos!N17-Datos!X17)/Datos!X17," - ")</f>
        <v>-8.3164300202839755E-2</v>
      </c>
      <c r="H17" s="454">
        <f>IF(ISNUMBER(((NºAsuntos!G17/NºAsuntos!E17)-Datos!BD17)/Datos!BD17),((NºAsuntos!G17/NºAsuntos!E17)-Datos!BD17)/Datos!BD17," - ")</f>
        <v>-8.505800758491458E-3</v>
      </c>
      <c r="I17" s="455">
        <f>IF(ISNUMBER(((NºAsuntos!I17/NºAsuntos!G17)-Datos!BE17)/Datos!BE17),((NºAsuntos!I17/NºAsuntos!G17)-Datos!BE17)/Datos!BE17," - ")</f>
        <v>1.729924975049961E-2</v>
      </c>
      <c r="J17" s="460">
        <f>IF(ISNUMBER((('Resol  Asuntos'!D17/NºAsuntos!G17)-Datos!BF17)/Datos!BF17),(('Resol  Asuntos'!D17/NºAsuntos!G17)-Datos!BF17)/Datos!BF17," - ")</f>
        <v>-0.16221298495645289</v>
      </c>
      <c r="K17" s="461">
        <f>IF(ISNUMBER((((NºAsuntos!C17+NºAsuntos!E17)/NºAsuntos!G17)-Datos!BG17)/Datos!BG17),(((NºAsuntos!C17+NºAsuntos!E17)/NºAsuntos!G17)-Datos!BG17)/Datos!BG17," - ")</f>
        <v>5.0534355868290777E-3</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0.14276717372347641</v>
      </c>
      <c r="C18" s="854">
        <f>IF(ISNUMBER(
   IF(Criterios!B14="SI",(Datos!J18-Datos!T18)/Datos!T18,(Datos!J18+Datos!AD18-(Datos!T18+Datos!AL18))/(Datos!T18+Datos!AL18))
     ),IF(Criterios!B14="SI",(Datos!J18-Datos!T18)/Datos!T18,(Datos!J18+Datos!AD18-(Datos!T18+Datos!AL18))/(Datos!T18+Datos!AL18))," - ")</f>
        <v>8.5880770954728819E-2</v>
      </c>
      <c r="D18" s="854">
        <f>IF(ISNUMBER(
   IF(Criterios!B14="SI",(Datos!K18-Datos!U18)/Datos!U18,(Datos!K18+Datos!AE18-(Datos!U18+Datos!AM18))/(Datos!U18+Datos!AM18))
     ),IF(Criterios!B14="SI",(Datos!K18-Datos!U18)/Datos!U18,(Datos!K18+Datos!AE18-(Datos!U18+Datos!AM18))/(Datos!U18+Datos!AM18))," - ")</f>
        <v>6.7830503094746863E-2</v>
      </c>
      <c r="E18" s="854">
        <f>IF(ISNUMBER(
   IF(Criterios!B14="SI",(Datos!L18-Datos!V18)/Datos!V18,(Datos!L18+Datos!AF18-(Datos!V18+Datos!AN18))/(Datos!V18+Datos!AN18))
     ),IF(Criterios!B14="SI",(Datos!L18-Datos!V18)/Datos!V18,(Datos!L18+Datos!AF18-(Datos!V18+Datos!AN18))/(Datos!V18+Datos!AN18))," - ")</f>
        <v>0.14520983832129342</v>
      </c>
      <c r="F18" s="855">
        <f>IF(ISNUMBER((Datos!M18-Datos!W18)/Datos!W18),(Datos!M18-Datos!W18)/Datos!W18," - ")</f>
        <v>0.25665067597034452</v>
      </c>
      <c r="G18" s="856">
        <f>IF(ISNUMBER((Datos!N18-Datos!X18)/Datos!X18),(Datos!N18-Datos!X18)/Datos!X18," - ")</f>
        <v>-3.0605763122942774E-3</v>
      </c>
      <c r="H18" s="856">
        <f>IF(ISNUMBER(((NºAsuntos!G18/NºAsuntos!E18)-Datos!BD18)/Datos!BD18),((NºAsuntos!G18/NºAsuntos!E18)-Datos!BD18)/Datos!BD18," - ")</f>
        <v>-1.6622697760926234E-2</v>
      </c>
      <c r="I18" s="856">
        <f>IF(ISNUMBER(((NºAsuntos!I18/NºAsuntos!G18)-Datos!BE18)/Datos!BE18),((NºAsuntos!I18/NºAsuntos!G18)-Datos!BE18)/Datos!BE18," - ")</f>
        <v>7.2464061480065012E-2</v>
      </c>
      <c r="J18" s="856">
        <f>IF(ISNUMBER((('Resol  Asuntos'!D18/NºAsuntos!G18)-Datos!BF18)/Datos!BF18),(('Resol  Asuntos'!D18/NºAsuntos!G18)-Datos!BF18)/Datos!BF18," - ")</f>
        <v>0.17682597783858567</v>
      </c>
      <c r="K18" s="856">
        <f>IF(ISNUMBER((((NºAsuntos!C18+NºAsuntos!E18)/NºAsuntos!G18)-Datos!BG18)/Datos!BG18),(((NºAsuntos!C18+NºAsuntos!E18)/NºAsuntos!G18)-Datos!BG18)/Datos!BG18," - ")</f>
        <v>3.7227461775740357E-2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8.1532108413266774E-2</v>
      </c>
      <c r="C19" s="801">
        <f>IF(ISNUMBER(
   IF(J_V="SI",(Datos!J19-Datos!T19)/Datos!T19,(Datos!J19+Datos!Z19-(Datos!T19+Datos!AH19))/(Datos!T19+Datos!AH19))
     ),IF(J_V="SI",(Datos!J19-Datos!T19)/Datos!T19,(Datos!J19+Datos!Z19-(Datos!T19+Datos!AH19))/(Datos!T19+Datos!AH19))," - ")</f>
        <v>-1.7746020260492039E-2</v>
      </c>
      <c r="D19" s="801">
        <f>IF(ISNUMBER(
   IF(J_V="SI",(Datos!K19-Datos!U19)/Datos!U19,(Datos!K19+Datos!AA19-(Datos!U19+Datos!AI19))/(Datos!U19+Datos!AI19))
     ),IF(J_V="SI",(Datos!K19-Datos!U19)/Datos!U19,(Datos!K19+Datos!AA19-(Datos!U19+Datos!AI19))/(Datos!U19+Datos!AI19))," - ")</f>
        <v>7.3549113643865405E-2</v>
      </c>
      <c r="E19" s="801">
        <f>IF(ISNUMBER(
   IF(J_V="SI",(Datos!L19-Datos!V19)/Datos!V19,(Datos!L19+Datos!AB19-(Datos!V19+Datos!AJ19))/(Datos!V19+Datos!AJ19))
     ),IF(J_V="SI",(Datos!L19-Datos!V19)/Datos!V19,(Datos!L19+Datos!AB19-(Datos!V19+Datos!AJ19))/(Datos!V19+Datos!AJ19))," - ")</f>
        <v>1.6552610124268102E-2</v>
      </c>
      <c r="F19" s="802">
        <f>IF(ISNUMBER((Datos!M19-Datos!W19)/Datos!W19),(Datos!M19-Datos!W19)/Datos!W19," - ")</f>
        <v>0.11305102729815762</v>
      </c>
      <c r="G19" s="803">
        <f>IF(ISNUMBER((Datos!N19-Datos!X19)/Datos!X19),(Datos!N19-Datos!X19)/Datos!X19," - ")</f>
        <v>5.3936141461719628E-2</v>
      </c>
      <c r="H19" s="804">
        <f>IF(ISNUMBER((Tasas!B19-Datos!BD19)/Datos!BD19),(Tasas!B19-Datos!BD19)/Datos!BD19," - ")</f>
        <v>9.2944529406303614E-2</v>
      </c>
      <c r="I19" s="805">
        <f>IF(ISNUMBER((Tasas!C19-Datos!BE19)/Datos!BE19),(Tasas!C19-Datos!BE19)/Datos!BE19," - ")</f>
        <v>-5.3091659054273217E-2</v>
      </c>
      <c r="J19" s="806">
        <f>IF(ISNUMBER((Tasas!D19-Datos!BF19)/Datos!BF19),(Tasas!D19-Datos!BF19)/Datos!BF19," - ")</f>
        <v>-0.18206679295152967</v>
      </c>
      <c r="K19" s="806">
        <f>IF(ISNUMBER((Tasas!E19-Datos!BG19)/Datos!BG19),(Tasas!E19-Datos!BG19)/Datos!BG19," - ")</f>
        <v>-3.1350163791441989E-2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09 dic. 2025</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nXWelCYlNSW4usvAaqzfYN9mu6VTdY7gPh3Vw62vgRWWEHXREVPMIcmZ+cUQrkjn+1fLlTAg7hhNMC/jblsbkg==" saltValue="q1rkoCLQ7GHTA9mak1X/O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CATALUÑA</v>
      </c>
    </row>
    <row r="3" spans="1:7" ht="19.5">
      <c r="A3" s="435" t="s">
        <v>12</v>
      </c>
      <c r="B3" s="390" t="str">
        <f>Criterios!A10 &amp;"  "&amp;Criterios!B10</f>
        <v>Provincias  BARCELONA</v>
      </c>
    </row>
    <row r="4" spans="1:7" ht="11.25" customHeight="1" thickBot="1">
      <c r="B4" s="390" t="str">
        <f>Criterios!A11 &amp;"  "&amp;Criterios!B11</f>
        <v>Resumenes por Partidos Judiciales  BARCELONA</v>
      </c>
    </row>
    <row r="5" spans="1:7" ht="12.75" customHeight="1">
      <c r="A5" s="1209" t="str">
        <f>"Año:  " &amp;Criterios!B5 &amp; "    Trimestre   " &amp;Criterios!D5 &amp; " al " &amp;Criterios!D6</f>
        <v>Año:  2025    Trimestre   3 al 3</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f>IF(ISNUMBER(NºAsuntos!G9/NºAsuntos!E9),NºAsuntos!G9/NºAsuntos!E9," - ")</f>
        <v>1.2228703366144125</v>
      </c>
      <c r="C9" s="442">
        <f>IF(ISNUMBER(NºAsuntos!I9/NºAsuntos!G9),NºAsuntos!I9/NºAsuntos!G9," - ")</f>
        <v>2.5991751962635399</v>
      </c>
      <c r="D9" s="443">
        <f>IF(ISNUMBER('Resol  Asuntos'!D9/NºAsuntos!G9),'Resol  Asuntos'!D9/NºAsuntos!G9," - ")</f>
        <v>0.25867037662724834</v>
      </c>
      <c r="E9" s="444">
        <f>IF(ISNUMBER((NºAsuntos!C9+NºAsuntos!E9)/NºAsuntos!G9),(NºAsuntos!C9+NºAsuntos!E9)/NºAsuntos!G9," - ")</f>
        <v>3.5931630726423531</v>
      </c>
      <c r="G9" s="462"/>
    </row>
    <row r="10" spans="1:7" ht="21">
      <c r="A10" s="401" t="str">
        <f>Datos!A10</f>
        <v>Jdos. Violencia contra la mujer/Secc Viol. TI.</v>
      </c>
      <c r="B10" s="441">
        <f>IF(ISNUMBER(NºAsuntos!G10/NºAsuntos!E10),NºAsuntos!G10/NºAsuntos!E10," - ")</f>
        <v>1.0249999999999999</v>
      </c>
      <c r="C10" s="442">
        <f>IF(ISNUMBER(NºAsuntos!I10/NºAsuntos!G10),NºAsuntos!I10/NºAsuntos!G10," - ")</f>
        <v>2.9207317073170733</v>
      </c>
      <c r="D10" s="443">
        <f>IF(ISNUMBER('Resol  Asuntos'!D10/NºAsuntos!G10),'Resol  Asuntos'!D10/NºAsuntos!G10," - ")</f>
        <v>0.21341463414634146</v>
      </c>
      <c r="E10" s="444">
        <f>IF(ISNUMBER((NºAsuntos!C10+NºAsuntos!E10)/NºAsuntos!G10),(NºAsuntos!C10+NºAsuntos!E10)/NºAsuntos!G10," - ")</f>
        <v>3.9207317073170733</v>
      </c>
      <c r="G10" s="462"/>
    </row>
    <row r="11" spans="1:7">
      <c r="A11" s="401" t="str">
        <f>Datos!A11</f>
        <v xml:space="preserve">Jdos. Familia                                   </v>
      </c>
      <c r="B11" s="441">
        <f>IF(ISNUMBER(NºAsuntos!G11/NºAsuntos!E11),NºAsuntos!G11/NºAsuntos!E11," - ")</f>
        <v>1.0126676602086437</v>
      </c>
      <c r="C11" s="442">
        <f>IF(ISNUMBER(NºAsuntos!I11/NºAsuntos!G11),NºAsuntos!I11/NºAsuntos!G11," - ")</f>
        <v>2.1125827814569536</v>
      </c>
      <c r="D11" s="443">
        <f>IF(ISNUMBER('Resol  Asuntos'!D11/NºAsuntos!G11),'Resol  Asuntos'!D11/NºAsuntos!G11," - ")</f>
        <v>0.39367181751287711</v>
      </c>
      <c r="E11" s="444">
        <f>IF(ISNUMBER((NºAsuntos!C11+NºAsuntos!E11)/NºAsuntos!G11),(NºAsuntos!C11+NºAsuntos!E11)/NºAsuntos!G11," - ")</f>
        <v>3.0706401766004414</v>
      </c>
      <c r="G11" s="462"/>
    </row>
    <row r="12" spans="1:7" ht="21.75" thickBot="1">
      <c r="A12" s="401" t="str">
        <f>Datos!A12</f>
        <v xml:space="preserve">Jdos. 1ª Instª. e Instr./Secc. Civil y de Inst. TI                      </v>
      </c>
      <c r="B12" s="441" t="str">
        <f>IF(ISNUMBER(NºAsuntos!G12/NºAsuntos!E12),NºAsuntos!G12/NºAsuntos!E12," - ")</f>
        <v xml:space="preserve"> - </v>
      </c>
      <c r="C12" s="442" t="str">
        <f>IF(ISNUMBER(NºAsuntos!I12/NºAsuntos!G12),NºAsuntos!I12/NºAsuntos!G12," - ")</f>
        <v xml:space="preserve"> - </v>
      </c>
      <c r="D12" s="443" t="str">
        <f>IF(ISNUMBER('Resol  Asuntos'!D12/NºAsuntos!G12),'Resol  Asuntos'!D12/NºAsuntos!G12," - ")</f>
        <v xml:space="preserve"> - </v>
      </c>
      <c r="E12" s="444" t="str">
        <f>IF(ISNUMBER((NºAsuntos!C12+NºAsuntos!E12)/NºAsuntos!G12),(NºAsuntos!C12+NºAsuntos!E12)/NºAsuntos!G12," - ")</f>
        <v xml:space="preserve"> - </v>
      </c>
      <c r="G12" s="462"/>
    </row>
    <row r="13" spans="1:7" ht="14.25" thickTop="1" thickBot="1">
      <c r="A13" s="847" t="str">
        <f>Datos!A13</f>
        <v>TOTAL</v>
      </c>
      <c r="B13" s="857">
        <f>IF(ISNUMBER(NºAsuntos!G13/NºAsuntos!E13),NºAsuntos!G13/NºAsuntos!E13," - ")</f>
        <v>1.2054008908685969</v>
      </c>
      <c r="C13" s="858">
        <f>IF(ISNUMBER(NºAsuntos!I13/NºAsuntos!G13),NºAsuntos!I13/NºAsuntos!G13," - ")</f>
        <v>2.5710656381357109</v>
      </c>
      <c r="D13" s="859">
        <f>IF(ISNUMBER('Resol  Asuntos'!D13/NºAsuntos!G13),'Resol  Asuntos'!D13/NºAsuntos!G13," - ")</f>
        <v>0.26680216176266802</v>
      </c>
      <c r="E13" s="860">
        <f>IF(ISNUMBER((NºAsuntos!C13+NºAsuntos!E13)/NºAsuntos!G13),(NºAsuntos!C13+NºAsuntos!E13)/NºAsuntos!G13," - ")</f>
        <v>3.5628435493556285</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f>IF(ISNUMBER(NºAsuntos!G15/NºAsuntos!E15),NºAsuntos!G15/NºAsuntos!E15," - ")</f>
        <v>0.92717883254032729</v>
      </c>
      <c r="C15" s="442">
        <f>IF(ISNUMBER(NºAsuntos!I15/NºAsuntos!G15),NºAsuntos!I15/NºAsuntos!G15," - ")</f>
        <v>0.77745791351148386</v>
      </c>
      <c r="D15" s="443">
        <f>IF(ISNUMBER('Resol  Asuntos'!D15/NºAsuntos!G15),'Resol  Asuntos'!D15/NºAsuntos!G15," - ")</f>
        <v>0.17907879091307341</v>
      </c>
      <c r="E15" s="444">
        <f>IF(ISNUMBER((NºAsuntos!C15+NºAsuntos!E15)/NºAsuntos!G15),(NºAsuntos!C15+NºAsuntos!E15)/NºAsuntos!G15," - ")</f>
        <v>1.7671318605669941</v>
      </c>
      <c r="G15" s="462"/>
    </row>
    <row r="16" spans="1:7" ht="21">
      <c r="A16" s="401" t="str">
        <f>Datos!A16</f>
        <v xml:space="preserve">Jdos. 1ª Instª. e Instr./Secc. Civil y de Inst. TI                      </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ht="21.75" thickBot="1">
      <c r="A17" s="401" t="str">
        <f>Datos!A17</f>
        <v>Jdos. Violencia contra la mujer/Secc Viol. TI.</v>
      </c>
      <c r="B17" s="441">
        <f>IF(ISNUMBER(NºAsuntos!G17/NºAsuntos!E17),NºAsuntos!G17/NºAsuntos!E17," - ")</f>
        <v>0.900053447354356</v>
      </c>
      <c r="C17" s="442">
        <f>IF(ISNUMBER(NºAsuntos!I17/NºAsuntos!G17),NºAsuntos!I17/NºAsuntos!G17," - ")</f>
        <v>1.0611638954869358</v>
      </c>
      <c r="D17" s="443">
        <f>IF(ISNUMBER('Resol  Asuntos'!D17/NºAsuntos!G17),'Resol  Asuntos'!D17/NºAsuntos!G17," - ")</f>
        <v>2.3752969121140142E-2</v>
      </c>
      <c r="E17" s="444">
        <f>IF(ISNUMBER((NºAsuntos!C17+NºAsuntos!E17)/NºAsuntos!G17),(NºAsuntos!C17+NºAsuntos!E17)/NºAsuntos!G17," - ")</f>
        <v>2.0510688836104514</v>
      </c>
      <c r="G17" s="462"/>
    </row>
    <row r="18" spans="1:7" ht="14.25" thickTop="1" thickBot="1">
      <c r="A18" s="847" t="str">
        <f>Datos!A18</f>
        <v>TOTAL</v>
      </c>
      <c r="B18" s="857">
        <f>IF(ISNUMBER(NºAsuntos!G18/NºAsuntos!E18),NºAsuntos!G18/NºAsuntos!E18," - ")</f>
        <v>0.92578221745232392</v>
      </c>
      <c r="C18" s="858">
        <f>IF(ISNUMBER(NºAsuntos!I18/NºAsuntos!G18),NºAsuntos!I18/NºAsuntos!G18," - ")</f>
        <v>0.79165923547946015</v>
      </c>
      <c r="D18" s="861">
        <f>IF(ISNUMBER('Resol  Asuntos'!D18/NºAsuntos!G18),'Resol  Asuntos'!D18/NºAsuntos!G18," - ")</f>
        <v>0.17130372748350275</v>
      </c>
      <c r="E18" s="860">
        <f>IF(ISNUMBER((NºAsuntos!C18+NºAsuntos!E18)/NºAsuntos!G18),(NºAsuntos!C18+NºAsuntos!E18)/NºAsuntos!G18," - ")</f>
        <v>1.7813447476368824</v>
      </c>
      <c r="G18" s="462"/>
    </row>
    <row r="19" spans="1:7" ht="15.75" customHeight="1" thickTop="1" thickBot="1">
      <c r="A19" s="792" t="str">
        <f>Datos!A19</f>
        <v>TOTAL JURISDICCIONES</v>
      </c>
      <c r="B19" s="807">
        <f>IF(ISNUMBER(NºAsuntos!G19/NºAsuntos!E19),NºAsuntos!G19/NºAsuntos!E19," - ")</f>
        <v>1.018269213061014</v>
      </c>
      <c r="C19" s="808">
        <f>IF(ISNUMBER(NºAsuntos!I19/NºAsuntos!G19),NºAsuntos!I19/NºAsuntos!G19," - ")</f>
        <v>1.4883796639597764</v>
      </c>
      <c r="D19" s="809">
        <f>IF(ISNUMBER('Resol  Asuntos'!D19/NºAsuntos!G19),'Resol  Asuntos'!D19/NºAsuntos!G19," - ")</f>
        <v>0.20869580944457505</v>
      </c>
      <c r="E19" s="810">
        <f>IF(ISNUMBER((NºAsuntos!C19+NºAsuntos!E19)/NºAsuntos!G19),(NºAsuntos!C19+NºAsuntos!E19)/NºAsuntos!G19," - ")</f>
        <v>2.4788844477401386</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09 dic. 2025</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s/k5Hai8bWINt7q0HsFTQlfpNwoDoBhj5eApGEyVSS5q2HOaZqCq1Yc34BC8KimFgpZYcKjWlc9u8/NHpUvujQ==" saltValue="il+iPB2zqmB7BcLNRWTob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CATALUÑA</v>
      </c>
      <c r="G2" s="262"/>
      <c r="H2" s="261"/>
      <c r="I2" s="261"/>
      <c r="J2" s="261"/>
      <c r="K2" s="261"/>
      <c r="L2" s="261" t="str">
        <f>Criterios!A10 &amp;"  "&amp;Criterios!B10</f>
        <v>Provincias  BARCELONA</v>
      </c>
      <c r="N2" s="261" t="str">
        <f>Criterios!A11 &amp;"  "&amp;Criterios!B11</f>
        <v>Resumenes por Partidos Judiciales  BARCELONA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3 al 3</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54</v>
      </c>
      <c r="B9" s="176" t="s">
        <v>246</v>
      </c>
      <c r="C9" s="159" t="str">
        <f>Datos!A9</f>
        <v xml:space="preserve">Jdos. 1ª Instancia   </v>
      </c>
      <c r="D9" s="159"/>
      <c r="E9" s="1024">
        <f>IF(ISNUMBER(Datos!AQ9),Datos!AQ9," - ")</f>
        <v>54</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9522</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f>IF(ISNUMBER(Datos!Q9),Datos!Q9," - ")</f>
        <v>8244</v>
      </c>
      <c r="Y9" s="333">
        <f>SUM(W9:X9)</f>
        <v>8244</v>
      </c>
      <c r="Z9" s="334" t="str">
        <f>IF(ISNUMBER(Datos!CC9),Datos!CC9," - ")</f>
        <v xml:space="preserve"> - </v>
      </c>
      <c r="AA9" s="331" t="str">
        <f>IF(ISNUMBER(IF(J_V="SI",Datos!L9,Datos!L9+Datos!AB9)-IF(Monitorios="SI",Datos!CD9,0)),
                          IF(J_V="SI",Datos!L9,Datos!L9+Datos!AB9)-IF(Monitorios="SI",Datos!CD9,0),
                          " - ")</f>
        <v xml:space="preserve"> - </v>
      </c>
      <c r="AB9" s="333">
        <f>IF(ISNUMBER(Datos!R9),Datos!R9," - ")</f>
        <v>83086</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f>IF(ISNUMBER(Datos!M9),Datos!M9," - ")</f>
        <v>5206</v>
      </c>
      <c r="AJ9" s="228" t="str">
        <f>IF(ISNUMBER(Datos!BW9),Datos!BW9," - ")</f>
        <v xml:space="preserve"> - </v>
      </c>
      <c r="AK9" s="227" t="str">
        <f>IF(ISNUMBER(Datos!BX9),Datos!BX9," - ")</f>
        <v xml:space="preserve"> - </v>
      </c>
      <c r="AL9" s="242">
        <f>IF(ISNUMBER(NºAsuntos!G9/NºAsuntos!E9),NºAsuntos!G9/NºAsuntos!E9," - ")</f>
        <v>1.2228703366144125</v>
      </c>
      <c r="AM9" s="259">
        <f>IF(ISNUMBER(((NºAsuntos!I9/NºAsuntos!G9)*11)/factor_trimestre),((NºAsuntos!I9/NºAsuntos!G9)*11)/factor_trimestre," - ")</f>
        <v>5.1983503925270798</v>
      </c>
      <c r="AN9" s="243">
        <f>IF(ISNUMBER('Resol  Asuntos'!D9/NºAsuntos!G9),'Resol  Asuntos'!D9/NºAsuntos!G9," - ")</f>
        <v>0.25867037662724834</v>
      </c>
      <c r="AO9" s="244">
        <f>IF(ISNUMBER((NºAsuntos!C9+NºAsuntos!E9)/NºAsuntos!G9),(NºAsuntos!C9+NºAsuntos!E9)/NºAsuntos!G9," - ")</f>
        <v>3.5931630726423531</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5</v>
      </c>
      <c r="B10" s="274" t="s">
        <v>246</v>
      </c>
      <c r="C10" s="7" t="str">
        <f>Datos!A10</f>
        <v>Jdos. Violencia contra la mujer/Secc Viol. TI.</v>
      </c>
      <c r="D10" s="7"/>
      <c r="E10" s="1024">
        <f>IF(ISNUMBER(Datos!AQ10),Datos!AQ10," - ")</f>
        <v>5</v>
      </c>
      <c r="F10" s="224">
        <f>IF(ISNUMBER(Datos!L10+Datos!K10-Datos!J10-K10),Datos!L10+Datos!K10-Datos!J10-K10," - ")</f>
        <v>483</v>
      </c>
      <c r="G10" s="332">
        <f>IF(ISNUMBER(Datos!I10),Datos!I10," - ")</f>
        <v>483</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29</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164</v>
      </c>
      <c r="X10" s="225">
        <f>IF(ISNUMBER(Datos!Q10),Datos!Q10," - ")</f>
        <v>40</v>
      </c>
      <c r="Y10" s="333">
        <f t="shared" ref="Y10:Y12" si="0">SUM(W10:X10)</f>
        <v>204</v>
      </c>
      <c r="Z10" s="334" t="str">
        <f>IF(ISNUMBER(Datos!CC10),Datos!CC10," - ")</f>
        <v xml:space="preserve"> - </v>
      </c>
      <c r="AA10" s="331">
        <f>IF(ISNUMBER(Datos!L10),Datos!L10,"-")</f>
        <v>479</v>
      </c>
      <c r="AB10" s="333">
        <f>IF(ISNUMBER(Datos!R10),Datos!R10," - ")</f>
        <v>587</v>
      </c>
      <c r="AC10" s="333">
        <f t="shared" ref="AC10:AC12" si="1">IF(ISNUMBER(AA10+AB10),AA10+AB10," - ")</f>
        <v>1066</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35</v>
      </c>
      <c r="AJ10" s="230" t="str">
        <f>IF(ISNUMBER(Datos!BW10),Datos!BW10," - ")</f>
        <v xml:space="preserve"> - </v>
      </c>
      <c r="AK10" s="231" t="str">
        <f>IF(ISNUMBER(Datos!BX10),Datos!BX10," - ")</f>
        <v xml:space="preserve"> - </v>
      </c>
      <c r="AL10" s="242">
        <f>IF(ISNUMBER(NºAsuntos!G10/NºAsuntos!E10),NºAsuntos!G10/NºAsuntos!E10," - ")</f>
        <v>1.0249999999999999</v>
      </c>
      <c r="AM10" s="259">
        <f>IF(ISNUMBER(((NºAsuntos!I10/NºAsuntos!G10)*11)/factor_trimestre),((NºAsuntos!I10/NºAsuntos!G10)*11)/factor_trimestre," - ")</f>
        <v>5.8414634146341475</v>
      </c>
      <c r="AN10" s="243">
        <f>IF(ISNUMBER('Resol  Asuntos'!D10/NºAsuntos!G10),'Resol  Asuntos'!D10/NºAsuntos!G10," - ")</f>
        <v>0.21341463414634146</v>
      </c>
      <c r="AO10" s="244">
        <f>IF(ISNUMBER((NºAsuntos!C10+NºAsuntos!E10)/NºAsuntos!G10),(NºAsuntos!C10+NºAsuntos!E10)/NºAsuntos!G10," - ")</f>
        <v>3.9207317073170733</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8</v>
      </c>
      <c r="B11" s="274" t="s">
        <v>246</v>
      </c>
      <c r="C11" s="7" t="str">
        <f>Datos!A11</f>
        <v xml:space="preserve">Jdos. Familia                                   </v>
      </c>
      <c r="D11" s="7"/>
      <c r="E11" s="1024">
        <f>IF(ISNUMBER(Datos!AQ11),Datos!AQ11," - ")</f>
        <v>8</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207</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f>IF(ISNUMBER(Datos!Q11),Datos!Q11," - ")</f>
        <v>304</v>
      </c>
      <c r="Y11" s="333">
        <f t="shared" si="0"/>
        <v>304</v>
      </c>
      <c r="Z11" s="334" t="str">
        <f>IF(ISNUMBER(Datos!CC11),Datos!CC11," - ")</f>
        <v xml:space="preserve"> - </v>
      </c>
      <c r="AA11" s="331" t="str">
        <f>IF(ISNUMBER(IF(J_V="SI",Datos!L11,Datos!L11+Datos!AB11)-IF(Monitorios="SI",Datos!CD11,0)),
                          IF(J_V="SI",Datos!L11,Datos!L11+Datos!AB11)-IF(Monitorios="SI",Datos!CD11,0),
                          " - ")</f>
        <v xml:space="preserve"> - </v>
      </c>
      <c r="AB11" s="333">
        <f>IF(ISNUMBER(Datos!R11),Datos!R11," - ")</f>
        <v>2899</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f>IF(ISNUMBER(Datos!M11),Datos!M11," - ")</f>
        <v>535</v>
      </c>
      <c r="AJ11" s="230" t="str">
        <f>IF(ISNUMBER(Datos!BW11),Datos!BW11," - ")</f>
        <v xml:space="preserve"> - </v>
      </c>
      <c r="AK11" s="231" t="str">
        <f>IF(ISNUMBER(Datos!BX11),Datos!BX11," - ")</f>
        <v xml:space="preserve"> - </v>
      </c>
      <c r="AL11" s="242">
        <f>IF(ISNUMBER(NºAsuntos!G11/NºAsuntos!E11),NºAsuntos!G11/NºAsuntos!E11," - ")</f>
        <v>1.0126676602086437</v>
      </c>
      <c r="AM11" s="259">
        <f>IF(ISNUMBER(((NºAsuntos!I11/NºAsuntos!G11)*11)/factor_trimestre),((NºAsuntos!I11/NºAsuntos!G11)*11)/factor_trimestre," - ")</f>
        <v>4.2251655629139071</v>
      </c>
      <c r="AN11" s="243">
        <f>IF(ISNUMBER('Resol  Asuntos'!D11/NºAsuntos!G11),'Resol  Asuntos'!D11/NºAsuntos!G11," - ")</f>
        <v>0.39367181751287711</v>
      </c>
      <c r="AO11" s="244">
        <f>IF(ISNUMBER((NºAsuntos!C11+NºAsuntos!E11)/NºAsuntos!G11),(NºAsuntos!C11+NºAsuntos!E11)/NºAsuntos!G11," - ")</f>
        <v>3.0706401766004414</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0</v>
      </c>
      <c r="B12" s="274" t="s">
        <v>246</v>
      </c>
      <c r="C12" s="7" t="str">
        <f>Datos!A12</f>
        <v xml:space="preserve">Jdos. 1ª Instª. e Instr./Secc. Civil y de Inst. TI                      </v>
      </c>
      <c r="D12" s="7"/>
      <c r="E12" s="1024">
        <f>IF(ISNUMBER(Datos!AQ12),Datos!AQ12," - ")</f>
        <v>0</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0</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t="str">
        <f>IF(ISNUMBER(Datos!Q12),Datos!Q12," - ")</f>
        <v xml:space="preserve"> - </v>
      </c>
      <c r="Y12" s="333">
        <f t="shared" si="0"/>
        <v>0</v>
      </c>
      <c r="Z12" s="334" t="str">
        <f>IF(ISNUMBER(Datos!CC12),Datos!CC12," - ")</f>
        <v xml:space="preserve"> - </v>
      </c>
      <c r="AA12" s="331" t="str">
        <f>IF(ISNUMBER(IF(J_V="SI",Datos!L12,Datos!L12+Datos!AB12)-IF(Monitorios="SI",Datos!CD12,0)),
                          IF(J_V="SI",Datos!L12,Datos!L12+Datos!AB12)-IF(Monitorios="SI",Datos!CD12,0),
                          " - ")</f>
        <v xml:space="preserve"> - </v>
      </c>
      <c r="AB12" s="333" t="str">
        <f>IF(ISNUMBER(Datos!R12),Datos!R12," - ")</f>
        <v xml:space="preserve"> - </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t="str">
        <f>IF(ISNUMBER(Datos!M12),Datos!M12," - ")</f>
        <v xml:space="preserve"> - </v>
      </c>
      <c r="AJ12" s="228" t="str">
        <f>IF(ISNUMBER(Datos!BW12),Datos!BW12," - ")</f>
        <v xml:space="preserve"> - </v>
      </c>
      <c r="AK12" s="227" t="str">
        <f>IF(ISNUMBER(Datos!BX12),Datos!BX12," - ")</f>
        <v xml:space="preserve"> - </v>
      </c>
      <c r="AL12" s="242" t="str">
        <f>IF(ISNUMBER(NºAsuntos!G12/NºAsuntos!E12),NºAsuntos!G12/NºAsuntos!E12," - ")</f>
        <v xml:space="preserve"> - </v>
      </c>
      <c r="AM12" s="259" t="str">
        <f>IF(ISNUMBER(((NºAsuntos!I12/NºAsuntos!G12)*11)/factor_trimestre),((NºAsuntos!I12/NºAsuntos!G12)*11)/factor_trimestre," - ")</f>
        <v xml:space="preserve"> - </v>
      </c>
      <c r="AN12" s="243" t="str">
        <f>IF(ISNUMBER('Resol  Asuntos'!D12/NºAsuntos!G12),'Resol  Asuntos'!D12/NºAsuntos!G12," - ")</f>
        <v xml:space="preserve"> - </v>
      </c>
      <c r="AO12" s="244" t="str">
        <f>IF(ISNUMBER((NºAsuntos!C12+NºAsuntos!E12)/NºAsuntos!G12),(NºAsuntos!C12+NºAsuntos!E12)/NºAsuntos!G12," - ")</f>
        <v xml:space="preserve"> - </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67</v>
      </c>
      <c r="F13" s="864">
        <f t="shared" si="3"/>
        <v>483</v>
      </c>
      <c r="G13" s="865">
        <f t="shared" si="3"/>
        <v>483</v>
      </c>
      <c r="H13" s="864">
        <f t="shared" si="3"/>
        <v>0</v>
      </c>
      <c r="I13" s="866">
        <f t="shared" si="3"/>
        <v>0</v>
      </c>
      <c r="J13" s="866">
        <f t="shared" si="3"/>
        <v>0</v>
      </c>
      <c r="K13" s="866">
        <f t="shared" si="3"/>
        <v>0</v>
      </c>
      <c r="L13" s="866">
        <f t="shared" si="3"/>
        <v>9758</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164</v>
      </c>
      <c r="X13" s="866">
        <f t="shared" si="4"/>
        <v>8588</v>
      </c>
      <c r="Y13" s="867">
        <f t="shared" si="4"/>
        <v>8752</v>
      </c>
      <c r="Z13" s="867">
        <f t="shared" si="4"/>
        <v>0</v>
      </c>
      <c r="AA13" s="867">
        <f t="shared" si="4"/>
        <v>479</v>
      </c>
      <c r="AB13" s="867">
        <f t="shared" si="4"/>
        <v>86572</v>
      </c>
      <c r="AC13" s="867">
        <f t="shared" si="4"/>
        <v>1066</v>
      </c>
      <c r="AD13" s="867">
        <f t="shared" si="4"/>
        <v>0</v>
      </c>
      <c r="AE13" s="871">
        <f t="shared" si="4"/>
        <v>0</v>
      </c>
      <c r="AF13" s="864">
        <f t="shared" si="4"/>
        <v>0</v>
      </c>
      <c r="AG13" s="872">
        <f t="shared" si="4"/>
        <v>0</v>
      </c>
      <c r="AH13" s="869">
        <f t="shared" si="4"/>
        <v>0</v>
      </c>
      <c r="AI13" s="864">
        <f t="shared" si="4"/>
        <v>5776</v>
      </c>
      <c r="AJ13" s="866">
        <f t="shared" si="4"/>
        <v>0</v>
      </c>
      <c r="AK13" s="869">
        <f>SUBTOTAL(9,AK9:AK12)</f>
        <v>0</v>
      </c>
      <c r="AL13" s="873">
        <f>IF(ISNUMBER(NºAsuntos!G13/NºAsuntos!E13),NºAsuntos!G13/NºAsuntos!E13," - ")</f>
        <v>1.2054008908685969</v>
      </c>
      <c r="AM13" s="873">
        <f>IF(ISNUMBER(((NºAsuntos!I13/NºAsuntos!G13)*11)/factor_trimestre),((NºAsuntos!I13/NºAsuntos!G13)*11)/factor_trimestre," - ")</f>
        <v>5.1421312762714217</v>
      </c>
      <c r="AN13" s="874">
        <f>IF(ISNUMBER('Resol  Asuntos'!D13/NºAsuntos!G13),'Resol  Asuntos'!D13/NºAsuntos!G13," - ")</f>
        <v>0.26680216176266802</v>
      </c>
      <c r="AO13" s="875">
        <f>IF(ISNUMBER((NºAsuntos!C13+NºAsuntos!E13)/NºAsuntos!G13),(NºAsuntos!C13+NºAsuntos!E13)/NºAsuntos!G13," - ")</f>
        <v>3.5628435493556285</v>
      </c>
      <c r="AP13" s="876" t="str">
        <f t="shared" si="2"/>
        <v xml:space="preserve"> - </v>
      </c>
      <c r="AQ13" s="876">
        <f>IF(ISNUMBER((H13-W13+K13)/(F13)),(H13-W13+K13)/(F13)," - ")</f>
        <v>-0.33954451345755693</v>
      </c>
      <c r="AR13" s="877">
        <f>IF(ISNUMBER((Datos!P13-Datos!Q13)/(Datos!R13-Datos!P13+Datos!Q13)),(Datos!P13-Datos!Q13)/(Datos!R13-Datos!P13+Datos!Q13)," - ")</f>
        <v>1.3699913350975387E-2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33</v>
      </c>
      <c r="B15" s="274" t="s">
        <v>396</v>
      </c>
      <c r="C15" s="159" t="str">
        <f>Datos!A15</f>
        <v xml:space="preserve">Jdos. Instrucción                               </v>
      </c>
      <c r="D15" s="159"/>
      <c r="E15" s="1024">
        <f>IF(ISNUMBER(Datos!AQ15),Datos!AQ15," - ")</f>
        <v>33</v>
      </c>
      <c r="F15" s="224">
        <f>IF(ISNUMBER(AA15+W15-Datos!J15-K15),AA15+W15-Datos!J15-K15," - ")</f>
        <v>22336</v>
      </c>
      <c r="G15" s="332">
        <f>IF(ISNUMBER(IF(D_I="SI",Datos!I15,Datos!I15+Datos!AC15)),IF(D_I="SI",Datos!I15,Datos!I15+Datos!AC15)," - ")</f>
        <v>22006</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2268</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f>IF(ISNUMBER(IF(D_I="SI",Datos!K15,Datos!K15+Datos!AE15)),IF(D_I="SI",Datos!K15,Datos!K15+Datos!AE15)," - ")</f>
        <v>31958</v>
      </c>
      <c r="X15" s="225">
        <f>IF(ISNUMBER(Datos!Q15),Datos!Q15," - ")</f>
        <v>2063</v>
      </c>
      <c r="Y15" s="333">
        <f>SUM(W15)</f>
        <v>31958</v>
      </c>
      <c r="Z15" s="334" t="str">
        <f>IF(ISNUMBER(Datos!CC15),Datos!CC15," - ")</f>
        <v xml:space="preserve"> - </v>
      </c>
      <c r="AA15" s="331">
        <f>IF(ISNUMBER(IF(D_I="SI",Datos!L15,Datos!L15+Datos!AF15)),IF(D_I="SI",Datos!L15,Datos!L15+Datos!AF15)," - ")</f>
        <v>24846</v>
      </c>
      <c r="AB15" s="333">
        <f>IF(ISNUMBER(Datos!R15),Datos!R15," - ")</f>
        <v>4633</v>
      </c>
      <c r="AC15" s="333">
        <f t="shared" ref="AC15:AC17" si="6">IF(ISNUMBER(AA15+AB15),AA15+AB15," - ")</f>
        <v>29479</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f>IF(ISNUMBER(Datos!M15),Datos!M15," - ")</f>
        <v>5723</v>
      </c>
      <c r="AJ15" s="230" t="str">
        <f>IF(ISNUMBER(Datos!BW15),Datos!BW15," - ")</f>
        <v xml:space="preserve"> - </v>
      </c>
      <c r="AK15" s="231" t="str">
        <f>IF(ISNUMBER(Datos!BX15),Datos!BX15," - ")</f>
        <v xml:space="preserve"> - </v>
      </c>
      <c r="AL15" s="242">
        <f>IF(ISNUMBER(NºAsuntos!G15/NºAsuntos!E15),NºAsuntos!G15/NºAsuntos!E15," - ")</f>
        <v>0.92717883254032729</v>
      </c>
      <c r="AM15" s="259">
        <f>IF(ISNUMBER(((NºAsuntos!I15/NºAsuntos!G15)*11)/factor_trimestre),((NºAsuntos!I15/NºAsuntos!G15)*11)/factor_trimestre," - ")</f>
        <v>1.5549158270229677</v>
      </c>
      <c r="AN15" s="243">
        <f>IF(ISNUMBER('Resol  Asuntos'!D15/NºAsuntos!G15),'Resol  Asuntos'!D15/NºAsuntos!G15," - ")</f>
        <v>0.17907879091307341</v>
      </c>
      <c r="AO15" s="244">
        <f>IF(ISNUMBER((NºAsuntos!C15+NºAsuntos!E15)/NºAsuntos!G15),(NºAsuntos!C15+NºAsuntos!E15)/NºAsuntos!G15," - ")</f>
        <v>1.7671318605669941</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0</v>
      </c>
      <c r="B16" s="274" t="s">
        <v>396</v>
      </c>
      <c r="C16" s="159" t="str">
        <f>Datos!A16</f>
        <v xml:space="preserve">Jdos. 1ª Instª. e Instr./Secc. Civil y de Inst. TI                      </v>
      </c>
      <c r="D16" s="159"/>
      <c r="E16" s="1024">
        <f>IF(ISNUMBER(Datos!AQ16),Datos!AQ16," - ")</f>
        <v>0</v>
      </c>
      <c r="F16" s="224" t="str">
        <f>IF(ISNUMBER(AA16+W16-Datos!J16-K16),AA16+W16-Datos!J16-K16," - ")</f>
        <v xml:space="preserve"> - </v>
      </c>
      <c r="G16" s="332" t="str">
        <f>IF(ISNUMBER(IF(D_I="SI",Datos!I16,Datos!I16+Datos!AC16)),IF(D_I="SI",Datos!I16,Datos!I16+Datos!AC16)," - ")</f>
        <v xml:space="preserve"> - </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0</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t="str">
        <f>IF(ISNUMBER(IF(D_I="SI",Datos!K16,Datos!K16+Datos!AE16)),IF(D_I="SI",Datos!K16,Datos!K16+Datos!AE16)," - ")</f>
        <v xml:space="preserve"> - </v>
      </c>
      <c r="X16" s="225" t="str">
        <f>IF(ISNUMBER(Datos!Q16),Datos!Q16," - ")</f>
        <v xml:space="preserve"> - </v>
      </c>
      <c r="Y16" s="333">
        <f t="shared" ref="Y16:Y17" si="7">SUM(W16:X16)</f>
        <v>0</v>
      </c>
      <c r="Z16" s="334" t="str">
        <f>IF(ISNUMBER(Datos!CC16),Datos!CC16," - ")</f>
        <v xml:space="preserve"> - </v>
      </c>
      <c r="AA16" s="331" t="str">
        <f>IF(ISNUMBER(IF(D_I="SI",Datos!L16,Datos!L16+Datos!AF16)),IF(D_I="SI",Datos!L16,Datos!L16+Datos!AF16)," - ")</f>
        <v xml:space="preserve"> - </v>
      </c>
      <c r="AB16" s="333" t="str">
        <f>IF(ISNUMBER(Datos!R16),Datos!R16," - ")</f>
        <v xml:space="preserve"> - </v>
      </c>
      <c r="AC16" s="333" t="str">
        <f t="shared" si="6"/>
        <v xml:space="preserve"> - </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t="str">
        <f>IF(ISNUMBER(Datos!M16),Datos!M16," - ")</f>
        <v xml:space="preserve"> - </v>
      </c>
      <c r="AJ16" s="230" t="str">
        <f>IF(ISNUMBER(Datos!BW16),Datos!BW16," - ")</f>
        <v xml:space="preserve"> - </v>
      </c>
      <c r="AK16" s="231" t="str">
        <f>IF(ISNUMBER(Datos!BX16),Datos!BX16," - ")</f>
        <v xml:space="preserve"> - </v>
      </c>
      <c r="AL16" s="242" t="str">
        <f>IF(ISNUMBER(NºAsuntos!G16/NºAsuntos!E16),NºAsuntos!G16/NºAsuntos!E16," - ")</f>
        <v xml:space="preserve"> - </v>
      </c>
      <c r="AM16" s="259"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5</v>
      </c>
      <c r="B17" s="274" t="s">
        <v>396</v>
      </c>
      <c r="C17" s="7" t="str">
        <f>Datos!A17</f>
        <v>Jdos. Violencia contra la mujer/Secc Viol. TI.</v>
      </c>
      <c r="D17" s="7"/>
      <c r="E17" s="1024">
        <f>IF(ISNUMBER(Datos!AQ17),Datos!AQ17," - ")</f>
        <v>5</v>
      </c>
      <c r="F17" s="224" t="str">
        <f>IF(ISNUMBER(AA17+W17-H17-K17),AA17+W17-H17-K17," - ")</f>
        <v xml:space="preserve"> - </v>
      </c>
      <c r="G17" s="332">
        <f>IF(ISNUMBER(IF(D_I="SI",Datos!I17,Datos!I17+Datos!AC17)),IF(D_I="SI",Datos!I17,Datos!I17+Datos!AC17)," - ")</f>
        <v>1583</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10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1684</v>
      </c>
      <c r="X17" s="225">
        <f>IF(ISNUMBER(Datos!Q17),Datos!Q17," - ")</f>
        <v>2</v>
      </c>
      <c r="Y17" s="333">
        <f t="shared" si="7"/>
        <v>1686</v>
      </c>
      <c r="Z17" s="334" t="str">
        <f>IF(ISNUMBER(Datos!CC17),Datos!CC17," - ")</f>
        <v xml:space="preserve"> - </v>
      </c>
      <c r="AA17" s="331">
        <f>IF(ISNUMBER(Datos!L17),Datos!L17,"-")</f>
        <v>1787</v>
      </c>
      <c r="AB17" s="333">
        <f>IF(ISNUMBER(Datos!R17),Datos!R17," - ")</f>
        <v>17</v>
      </c>
      <c r="AC17" s="333">
        <f t="shared" si="6"/>
        <v>1804</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40</v>
      </c>
      <c r="AJ17" s="230" t="str">
        <f>IF(ISNUMBER(Datos!BW17),Datos!BW17," - ")</f>
        <v xml:space="preserve"> - </v>
      </c>
      <c r="AK17" s="231" t="str">
        <f>IF(ISNUMBER(Datos!BX17),Datos!BX17," - ")</f>
        <v xml:space="preserve"> - </v>
      </c>
      <c r="AL17" s="242">
        <f>IF(ISNUMBER(NºAsuntos!G17/NºAsuntos!E17),NºAsuntos!G17/NºAsuntos!E17," - ")</f>
        <v>0.900053447354356</v>
      </c>
      <c r="AM17" s="259">
        <f>IF(ISNUMBER(((NºAsuntos!I17/NºAsuntos!G17)*11)/factor_trimestre),((NºAsuntos!I17/NºAsuntos!G17)*11)/factor_trimestre," - ")</f>
        <v>2.1223277909738716</v>
      </c>
      <c r="AN17" s="243">
        <f>IF(ISNUMBER('Resol  Asuntos'!D17/NºAsuntos!G17),'Resol  Asuntos'!D17/NºAsuntos!G17," - ")</f>
        <v>2.3752969121140142E-2</v>
      </c>
      <c r="AO17" s="244">
        <f>IF(ISNUMBER((NºAsuntos!C17+NºAsuntos!E17)/NºAsuntos!G17),(NºAsuntos!C17+NºAsuntos!E17)/NºAsuntos!G17," - ")</f>
        <v>2.0510688836104514</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38</v>
      </c>
      <c r="F18" s="864">
        <f>SUBTOTAL(9,F14:F17)</f>
        <v>22336</v>
      </c>
      <c r="G18" s="865">
        <f>SUBTOTAL(9,G15:G17)</f>
        <v>23589</v>
      </c>
      <c r="H18" s="864">
        <f t="shared" ref="H18:O18" si="10">SUBTOTAL(9,H14:H17)</f>
        <v>0</v>
      </c>
      <c r="I18" s="866">
        <f t="shared" si="10"/>
        <v>0</v>
      </c>
      <c r="J18" s="866">
        <f t="shared" si="10"/>
        <v>0</v>
      </c>
      <c r="K18" s="866">
        <f t="shared" si="10"/>
        <v>0</v>
      </c>
      <c r="L18" s="866">
        <f t="shared" si="10"/>
        <v>2278</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33642</v>
      </c>
      <c r="X18" s="866">
        <f t="shared" si="11"/>
        <v>2065</v>
      </c>
      <c r="Y18" s="867">
        <f t="shared" si="11"/>
        <v>33644</v>
      </c>
      <c r="Z18" s="867">
        <f t="shared" si="11"/>
        <v>0</v>
      </c>
      <c r="AA18" s="867">
        <f t="shared" si="11"/>
        <v>26633</v>
      </c>
      <c r="AB18" s="867">
        <f t="shared" si="11"/>
        <v>4650</v>
      </c>
      <c r="AC18" s="867">
        <f t="shared" si="11"/>
        <v>31283</v>
      </c>
      <c r="AD18" s="867">
        <f t="shared" si="11"/>
        <v>0</v>
      </c>
      <c r="AE18" s="871">
        <f t="shared" si="11"/>
        <v>0</v>
      </c>
      <c r="AF18" s="864">
        <f t="shared" si="11"/>
        <v>0</v>
      </c>
      <c r="AG18" s="872">
        <f t="shared" si="11"/>
        <v>0</v>
      </c>
      <c r="AH18" s="869">
        <f t="shared" si="11"/>
        <v>0</v>
      </c>
      <c r="AI18" s="864">
        <f t="shared" si="11"/>
        <v>5763</v>
      </c>
      <c r="AJ18" s="866">
        <f t="shared" si="11"/>
        <v>0</v>
      </c>
      <c r="AK18" s="869">
        <f t="shared" si="11"/>
        <v>0</v>
      </c>
      <c r="AL18" s="873">
        <f>IF(ISNUMBER(NºAsuntos!G18/NºAsuntos!E18),NºAsuntos!G18/NºAsuntos!E18," - ")</f>
        <v>0.92578221745232392</v>
      </c>
      <c r="AM18" s="873">
        <f>IF(ISNUMBER(((NºAsuntos!I18/NºAsuntos!G18)*11)/factor_trimestre),((NºAsuntos!I18/NºAsuntos!G18)*11)/factor_trimestre," - ")</f>
        <v>1.5833184709589203</v>
      </c>
      <c r="AN18" s="874">
        <f>IF(ISNUMBER('Resol  Asuntos'!D18/NºAsuntos!G18),'Resol  Asuntos'!D18/NºAsuntos!G18," - ")</f>
        <v>0.17130372748350275</v>
      </c>
      <c r="AO18" s="875">
        <f>IF(ISNUMBER((NºAsuntos!C18+NºAsuntos!E18)/NºAsuntos!G18),(NºAsuntos!C18+NºAsuntos!E18)/NºAsuntos!G18," - ")</f>
        <v>1.7813447476368824</v>
      </c>
      <c r="AP18" s="876" t="str">
        <f t="shared" si="2"/>
        <v xml:space="preserve"> - </v>
      </c>
      <c r="AQ18" s="876">
        <f>IF(ISNUMBER((H18-W18+K18)/(F18)),(H18-W18+K18)/(F18)," - ")</f>
        <v>-1.5061783667621778</v>
      </c>
      <c r="AR18" s="877">
        <f>IF(ISNUMBER((Datos!P18-Datos!Q18)/(Datos!R18-Datos!P18+Datos!Q18)),(Datos!P18-Datos!Q18)/(Datos!R18-Datos!P18+Datos!Q18)," - ")</f>
        <v>4.8005409060175794E-2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105</v>
      </c>
      <c r="F19" s="819">
        <f t="shared" si="13"/>
        <v>22819</v>
      </c>
      <c r="G19" s="820">
        <f t="shared" si="13"/>
        <v>24072</v>
      </c>
      <c r="H19" s="819">
        <f t="shared" si="13"/>
        <v>0</v>
      </c>
      <c r="I19" s="821">
        <f t="shared" si="13"/>
        <v>0</v>
      </c>
      <c r="J19" s="821">
        <f t="shared" si="13"/>
        <v>0</v>
      </c>
      <c r="K19" s="880">
        <f t="shared" si="13"/>
        <v>0</v>
      </c>
      <c r="L19" s="821">
        <f t="shared" si="13"/>
        <v>12036</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33806</v>
      </c>
      <c r="X19" s="820">
        <f t="shared" si="14"/>
        <v>10653</v>
      </c>
      <c r="Y19" s="827">
        <f t="shared" si="14"/>
        <v>42396</v>
      </c>
      <c r="Z19" s="827">
        <f t="shared" si="14"/>
        <v>0</v>
      </c>
      <c r="AA19" s="827">
        <f t="shared" si="14"/>
        <v>27112</v>
      </c>
      <c r="AB19" s="827">
        <f t="shared" si="14"/>
        <v>91222</v>
      </c>
      <c r="AC19" s="827">
        <f t="shared" si="14"/>
        <v>32349</v>
      </c>
      <c r="AD19" s="827">
        <f t="shared" si="14"/>
        <v>0</v>
      </c>
      <c r="AE19" s="829">
        <f t="shared" si="14"/>
        <v>0</v>
      </c>
      <c r="AF19" s="830">
        <f t="shared" si="14"/>
        <v>0</v>
      </c>
      <c r="AG19" s="831">
        <f t="shared" si="14"/>
        <v>0</v>
      </c>
      <c r="AH19" s="829">
        <f t="shared" si="14"/>
        <v>0</v>
      </c>
      <c r="AI19" s="819">
        <f t="shared" si="14"/>
        <v>11539</v>
      </c>
      <c r="AJ19" s="819">
        <f t="shared" si="14"/>
        <v>0</v>
      </c>
      <c r="AK19" s="829">
        <f t="shared" si="14"/>
        <v>0</v>
      </c>
      <c r="AL19" s="883">
        <f>IF(ISNUMBER(NºAsuntos!G19/NºAsuntos!E19),NºAsuntos!G19/NºAsuntos!E19," - ")</f>
        <v>1.018269213061014</v>
      </c>
      <c r="AM19" s="884">
        <f>IF(ISNUMBER(((NºAsuntos!I19/NºAsuntos!G19)*11)/factor_trimestre),((NºAsuntos!I19/NºAsuntos!G19)*11)/factor_trimestre," - ")</f>
        <v>2.9767593279195528</v>
      </c>
      <c r="AN19" s="884">
        <f>IF(ISNUMBER('Resol  Asuntos'!D19/NºAsuntos!G19),'Resol  Asuntos'!D19/NºAsuntos!G19," - ")</f>
        <v>0.20869580944457505</v>
      </c>
      <c r="AO19" s="885">
        <f>IF(ISNUMBER((NºAsuntos!C19+NºAsuntos!E19)/NºAsuntos!G19),(NºAsuntos!C19+NºAsuntos!E19)/NºAsuntos!G19," - ")</f>
        <v>2.4788844477401386</v>
      </c>
      <c r="AP19" s="886" t="str">
        <f t="shared" si="2"/>
        <v xml:space="preserve"> - </v>
      </c>
      <c r="AQ19" s="887">
        <f>IF(OR(ISNUMBER(FIND("01",Criterios!A8,1)),ISNUMBER(FIND("02",Criterios!A8,1)),ISNUMBER(FIND("03",Criterios!A8,1)),ISNUMBER(FIND("04",Criterios!A8,1))),(I19-W19+K19)/(F19-K19),(H19-W19+K19)/(F19-K19))</f>
        <v>-1.481484727639248</v>
      </c>
      <c r="AR19" s="888">
        <f>IF(ISNUMBER((Datos!P19-Datos!Q19)/(Datos!R19-Datos!P19+Datos!Q19)),(Datos!P19-Datos!Q19)/(Datos!R19-Datos!P19+Datos!Q19)," - ")</f>
        <v>1.539420518928305E-2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9628.7999999999993</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25.37715508089904</v>
      </c>
      <c r="F21" s="251">
        <f>IF(ISNUMBER(STDEV(F8:F18)),STDEV(F8:F18),"-")</f>
        <v>12616.835432600892</v>
      </c>
      <c r="G21" s="252">
        <f>IF(ISNUMBER(STDEV(G8:G18)),STDEV(G8:G18),"-")</f>
        <v>12042.72058963422</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17618.960434713506</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2904.9868289185883</v>
      </c>
      <c r="AJ21" s="251">
        <f t="shared" si="18"/>
        <v>0</v>
      </c>
      <c r="AK21" s="253">
        <f t="shared" si="18"/>
        <v>0</v>
      </c>
      <c r="AL21" s="248">
        <f t="shared" si="18"/>
        <v>0.13329043640071614</v>
      </c>
      <c r="AM21" s="249">
        <f t="shared" si="18"/>
        <v>1.8596382486035397</v>
      </c>
      <c r="AN21" s="249">
        <f t="shared" si="18"/>
        <v>0.11276185203871283</v>
      </c>
      <c r="AO21" s="250">
        <f t="shared" si="18"/>
        <v>0.93118318378309439</v>
      </c>
      <c r="AP21" s="290" t="str">
        <f t="shared" si="18"/>
        <v>-</v>
      </c>
      <c r="AQ21" s="291">
        <f t="shared" si="18"/>
        <v>0.82493470883348896</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09 dic. 2025</v>
      </c>
      <c r="D30" s="120"/>
    </row>
    <row r="32" spans="1:65">
      <c r="C32" s="1"/>
      <c r="D32" s="1"/>
    </row>
  </sheetData>
  <sheetProtection algorithmName="SHA-512" hashValue="s1Bb5KzTCGjCAyl5hxTOvTeFqTzdI7NGrqNY5ZXqjgxEJkVDqHar6qtraIcRD2rJz8fQYXgIEToYOu7qYgWCaw==" saltValue="Q0O145sNYalxOPq342P8b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CATALUÑA</v>
      </c>
      <c r="E2" s="262"/>
    </row>
    <row r="3" spans="2:20" ht="17.25" customHeight="1">
      <c r="C3" s="266"/>
      <c r="D3" s="261" t="str">
        <f>Criterios!A10 &amp;"  "&amp;Criterios!B10</f>
        <v>Provincias  BARCELONA</v>
      </c>
      <c r="E3" s="262"/>
    </row>
    <row r="4" spans="2:20" ht="17.25" customHeight="1" thickBot="1">
      <c r="D4" s="261" t="str">
        <f>Criterios!A11 &amp;"  "&amp;Criterios!B11</f>
        <v>Resumenes por Partidos Judiciales  BARCELONA</v>
      </c>
      <c r="E4" s="262"/>
    </row>
    <row r="5" spans="2:20" ht="12.75" customHeight="1">
      <c r="B5" s="271"/>
      <c r="C5" s="1287" t="str">
        <f>"Año:  " &amp;Criterios!B5 &amp; "          Trimestre   " &amp;Criterios!D5 &amp; " al " &amp;Criterios!D6</f>
        <v>Año:  2025          Trimestre   3 al 3</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f>IF(ISNUMBER((Datos!M9-Datos!W9)/Datos!W9),(Datos!M9-Datos!W9)/Datos!W9," - ")</f>
        <v>5.9903381642512077E-3</v>
      </c>
      <c r="I9" s="349">
        <f>IF(ISNUMBER((Tasas!C9-Datos!BE9)/Datos!BE9),(Tasas!C9-Datos!BE9)/Datos!BE9," - ")</f>
        <v>-0.11501493345210814</v>
      </c>
      <c r="J9" s="348">
        <f>IF(ISNUMBER((Tasas!D9-Datos!BF9)/Datos!BF9),(Tasas!D9-Datos!BF9)/Datos!BF9," - ")</f>
        <v>-0.4087717660412068</v>
      </c>
      <c r="K9" s="350">
        <f>IF(ISNUMBER((Tasas!E9-Datos!BG9)/Datos!BG9),(Tasas!E9-Datos!BG9)/Datos!BG9," - ")</f>
        <v>-8.7504118152121876E-2</v>
      </c>
      <c r="M9" t="e">
        <f>IF(Monitorios="SI",Datos!CE9,0)</f>
        <v>#REF!</v>
      </c>
      <c r="N9" t="e">
        <f>IF(Monitorios="SI",Datos!CF9,0)</f>
        <v>#REF!</v>
      </c>
      <c r="O9" t="e">
        <f>IF(Monitorios="SI",Datos!CG9,0)</f>
        <v>#REF!</v>
      </c>
      <c r="P9" t="e">
        <f>IF(Monitorios="SI",Datos!CH9,0)</f>
        <v>#REF!</v>
      </c>
      <c r="Q9">
        <f>IF(J_V="SI",0,Datos!AG9)</f>
        <v>728</v>
      </c>
      <c r="R9">
        <f>IF(J_V="SI",0,Datos!AH9)</f>
        <v>1505</v>
      </c>
      <c r="S9">
        <f>IF(J_V="SI",0,Datos!AI9)</f>
        <v>1414</v>
      </c>
      <c r="T9">
        <f>IF(J_V="SI",0,Datos!AJ9)</f>
        <v>819</v>
      </c>
    </row>
    <row r="10" spans="2:20" ht="14.25">
      <c r="B10" s="274" t="s">
        <v>246</v>
      </c>
      <c r="C10" s="7" t="str">
        <f>Datos!A10</f>
        <v>Jdos. Violencia contra la mujer/Secc Viol. TI.</v>
      </c>
      <c r="D10" s="351">
        <f>IF(ISNUMBER((Datos!I10-Datos!S10)/Datos!S10),(Datos!I10-Datos!S10)/Datos!S10," - ")</f>
        <v>-5.6640625E-2</v>
      </c>
      <c r="E10" s="347">
        <f>IF(ISNUMBER((Datos!J10-Datos!T10)/Datos!T10),(Datos!J10-Datos!T10)/Datos!T10," - ")</f>
        <v>1.9108280254777069E-2</v>
      </c>
      <c r="F10" s="347">
        <f>IF(ISNUMBER((Datos!K10-Datos!U10)/Datos!U10),(Datos!K10-Datos!U10)/Datos!U10," - ")</f>
        <v>7.1895424836601302E-2</v>
      </c>
      <c r="G10" s="348">
        <f>IF(ISNUMBER((Datos!L10-Datos!V10)/Datos!V10),(Datos!L10-Datos!V10)/Datos!V10," - ")</f>
        <v>-7.170542635658915E-2</v>
      </c>
      <c r="H10" s="229">
        <f>IF(ISNUMBER((Datos!M10-Datos!W10)/Datos!W10),(Datos!M10-Datos!W10)/Datos!W10," - ")</f>
        <v>-0.16666666666666666</v>
      </c>
      <c r="I10" s="349">
        <f>IF(ISNUMBER((Tasas!C10-Datos!BE10)/Datos!BE10),(Tasas!C10-Datos!BE10)/Datos!BE10," - ")</f>
        <v>-0.13396908678389105</v>
      </c>
      <c r="J10" s="348">
        <f>IF(ISNUMBER((Tasas!D10-Datos!BF10)/Datos!BF10),(Tasas!D10-Datos!BF10)/Datos!BF10," - ")</f>
        <v>-0.22256097560975618</v>
      </c>
      <c r="K10" s="350">
        <f>IF(ISNUMBER((Tasas!E10-Datos!BG10)/Datos!BG10),(Tasas!E10-Datos!BG10)/Datos!BG10," - ")</f>
        <v>-0.10333041671223875</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f>IF(ISNUMBER((Datos!M11-Datos!W11)/Datos!W11),(Datos!M11-Datos!W11)/Datos!W11," - ")</f>
        <v>-5.1418439716312055E-2</v>
      </c>
      <c r="I11" s="349">
        <f>IF(ISNUMBER((Tasas!C11-Datos!BE11)/Datos!BE11),(Tasas!C11-Datos!BE11)/Datos!BE11," - ")</f>
        <v>-2.3538610581849303E-2</v>
      </c>
      <c r="J11" s="348">
        <f>IF(ISNUMBER((Tasas!D11-Datos!BF11)/Datos!BF11),(Tasas!D11-Datos!BF11)/Datos!BF11," - ")</f>
        <v>0.23564392060759892</v>
      </c>
      <c r="K11" s="350">
        <f>IF(ISNUMBER((Tasas!E11-Datos!BG11)/Datos!BG11),(Tasas!E11-Datos!BG11)/Datos!BG11," - ")</f>
        <v>-2.6115679578092844E-2</v>
      </c>
      <c r="M11" t="e">
        <f>IF(Monitorios="SI",Datos!CE11,0)</f>
        <v>#REF!</v>
      </c>
      <c r="N11" t="e">
        <f>IF(Monitorios="SI",Datos!CF11,0)</f>
        <v>#REF!</v>
      </c>
      <c r="O11" t="e">
        <f>IF(Monitorios="SI",Datos!CG11,0)</f>
        <v>#REF!</v>
      </c>
      <c r="P11" t="e">
        <f>IF(Monitorios="SI",Datos!CH11,0)</f>
        <v>#REF!</v>
      </c>
      <c r="Q11">
        <f>IF(J_V="SI",0,Datos!AG11)</f>
        <v>154</v>
      </c>
      <c r="R11">
        <f>IF(J_V="SI",0,Datos!AH11)</f>
        <v>93</v>
      </c>
      <c r="S11">
        <f>IF(J_V="SI",0,Datos!AI11)</f>
        <v>100</v>
      </c>
      <c r="T11">
        <f>IF(J_V="SI",0,Datos!AJ11)</f>
        <v>147</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t="str">
        <f>IF(ISNUMBER((Datos!M12-Datos!W12)/Datos!W12),(Datos!M12-Datos!W12)/Datos!W12," - ")</f>
        <v xml:space="preserve"> - </v>
      </c>
      <c r="I12" s="349" t="str">
        <f>IF(ISNUMBER((Tasas!C12-Datos!BE12)/Datos!BE12),(Tasas!C12-Datos!BE12)/Datos!BE12," - ")</f>
        <v xml:space="preserve"> - </v>
      </c>
      <c r="J12" s="348" t="str">
        <f>IF(ISNUMBER((Tasas!D12-Datos!BF12)/Datos!BF12),(Tasas!D12-Datos!BF12)/Datos!BF12," - ")</f>
        <v xml:space="preserve"> - </v>
      </c>
      <c r="K12" s="350"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-8.6490226604393706E-4</v>
      </c>
      <c r="I13" s="356">
        <f>IF(ISNUMBER((Tasas!C13-Datos!BE13)/Datos!BE13),(Tasas!C13-Datos!BE13)/Datos!BE13," - ")</f>
        <v>-0.10887430012413006</v>
      </c>
      <c r="J13" s="354">
        <f>IF(ISNUMBER((Tasas!D13-Datos!BF13)/Datos!BF13),(Tasas!D13-Datos!BF13)/Datos!BF13," - ")</f>
        <v>-0.37632850602807305</v>
      </c>
      <c r="K13" s="357">
        <f>IF(ISNUMBER((Tasas!E13-Datos!BG13)/Datos!BG13),(Tasas!E13-Datos!BG13)/Datos!BG13," - ")</f>
        <v>-8.2955849153563785E-2</v>
      </c>
      <c r="M13" t="e">
        <f>IF(Monitorios="SI",Datos!CE13,0)</f>
        <v>#REF!</v>
      </c>
      <c r="N13" t="e">
        <f>IF(Monitorios="SI",Datos!CF13,0)</f>
        <v>#REF!</v>
      </c>
      <c r="O13" t="e">
        <f>IF(Monitorios="SI",Datos!CG13,0)</f>
        <v>#REF!</v>
      </c>
      <c r="P13" t="e">
        <f>IF(Monitorios="SI",Datos!CH13,0)</f>
        <v>#REF!</v>
      </c>
      <c r="Q13">
        <f>IF(J_V="SI",0,Datos!AG13)</f>
        <v>882</v>
      </c>
      <c r="R13">
        <f>IF(J_V="SI",0,Datos!AH13)</f>
        <v>1598</v>
      </c>
      <c r="S13">
        <f>IF(J_V="SI",0,Datos!AI13)</f>
        <v>1514</v>
      </c>
      <c r="T13">
        <f>IF(J_V="SI",0,Datos!AJ13)</f>
        <v>966</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f>IF(ISNUMBER(
   IF(D_I="SI",(Datos!I15-Datos!S15)/Datos!S15,(Datos!I15+Datos!AC15-(Datos!S15+Datos!AK15))/(Datos!S15+Datos!AK15))
     ),IF(D_I="SI",(Datos!I15-Datos!S15)/Datos!S15,(Datos!I15+Datos!AC15-(Datos!S15+Datos!AK15))/(Datos!S15+Datos!AK15))," - ")</f>
        <v>0.15504933865211001</v>
      </c>
      <c r="E15" s="347">
        <f>IF(ISNUMBER(
   IF(D_I="SI",(Datos!J15-Datos!T15)/Datos!T15,(Datos!J15+Datos!AD15-(Datos!T15+Datos!AL15))/(Datos!T15+Datos!AL15))
     ),IF(D_I="SI",(Datos!J15-Datos!T15)/Datos!T15,(Datos!J15+Datos!AD15-(Datos!T15+Datos!AL15))/(Datos!T15+Datos!AL15))," - ")</f>
        <v>9.0759493670886079E-2</v>
      </c>
      <c r="F15" s="347">
        <f>IF(ISNUMBER(
   IF(D_I="SI",(Datos!K15-Datos!U15)/Datos!U15,(Datos!K15+Datos!AE15-(Datos!U15+Datos!AM15))/(Datos!U15+Datos!AM15))
     ),IF(D_I="SI",(Datos!K15-Datos!U15)/Datos!U15,(Datos!K15+Datos!AE15-(Datos!U15+Datos!AM15))/(Datos!U15+Datos!AM15))," - ")</f>
        <v>7.1984435797665364E-2</v>
      </c>
      <c r="G15" s="348">
        <f>IF(ISNUMBER(
   IF(D_I="SI",(Datos!L15-Datos!V15)/Datos!V15,(Datos!L15+Datos!AF15-(Datos!V15+Datos!AN15))/(Datos!V15+Datos!AN15))
     ),IF(D_I="SI",(Datos!L15-Datos!V15)/Datos!V15,(Datos!L15+Datos!AF15-(Datos!V15+Datos!AN15))/(Datos!V15+Datos!AN15))," - ")</f>
        <v>0.15616565844578875</v>
      </c>
      <c r="H15" s="229">
        <f>IF(ISNUMBER((Datos!M15-Datos!W15)/Datos!W15),(Datos!M15-Datos!W15)/Datos!W15," - ")</f>
        <v>0.2611282503305421</v>
      </c>
      <c r="I15" s="349">
        <f>IF(ISNUMBER((Tasas!C15-Datos!BE15)/Datos!BE15),(Tasas!C15-Datos!BE15)/Datos!BE15," - ")</f>
        <v>7.8528400074655891E-2</v>
      </c>
      <c r="J15" s="348">
        <f>IF(ISNUMBER((Tasas!D15-Datos!BF15)/Datos!BF15),(Tasas!D15-Datos!BF15)/Datos!BF15," - ")</f>
        <v>0.17644268724119525</v>
      </c>
      <c r="K15" s="350">
        <f>IF(ISNUMBER((Tasas!E15-Datos!BG15)/Datos!BG15),(Tasas!E15-Datos!BG15)/Datos!BG15," - ")</f>
        <v>4.007215958349572E-2</v>
      </c>
    </row>
    <row r="16" spans="2:20" ht="14.25">
      <c r="B16" s="274" t="s">
        <v>396</v>
      </c>
      <c r="C16" s="7" t="str">
        <f>Datos!A16</f>
        <v xml:space="preserve">Jdos. 1ª Instª. e Instr./Secc. Civil y de Inst. TI                      </v>
      </c>
      <c r="D16" s="351" t="str">
        <f>IF(ISNUMBER(
   IF(D_I="SI",(Datos!I16-Datos!S16)/Datos!S16,(Datos!I16+Datos!AC16-(Datos!S16+Datos!AK16))/(Datos!S16+Datos!AK16))
     ),IF(D_I="SI",(Datos!I16-Datos!S16)/Datos!S16,(Datos!I16+Datos!AC16-(Datos!S16+Datos!AK16))/(Datos!S16+Datos!AK16))," - ")</f>
        <v xml:space="preserve"> - </v>
      </c>
      <c r="E16" s="347" t="str">
        <f>IF(ISNUMBER(
   IF(D_I="SI",(Datos!J16-Datos!T16)/Datos!T16,(Datos!J16+Datos!AD16-(Datos!T16+Datos!AL16))/(Datos!T16+Datos!AL16))
     ),IF(D_I="SI",(Datos!J16-Datos!T16)/Datos!T16,(Datos!J16+Datos!AD16-(Datos!T16+Datos!AL16))/(Datos!T16+Datos!AL16))," - ")</f>
        <v xml:space="preserve"> - </v>
      </c>
      <c r="F16" s="347"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22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-4.4025157232704401E-3</v>
      </c>
      <c r="E17" s="347">
        <f>IF(ISNUMBER(
   IF(D_I="SI",(Datos!J17-Datos!T17)/Datos!T17,(Datos!J17+Datos!AD17-(Datos!T17+Datos!AL17))/(Datos!T17+Datos!AL17))
     ),IF(D_I="SI",(Datos!J17-Datos!T17)/Datos!T17,(Datos!J17+Datos!AD17-(Datos!T17+Datos!AL17))/(Datos!T17+Datos!AL17))," - ")</f>
        <v>3.2171581769436996E-3</v>
      </c>
      <c r="F17" s="347">
        <f>IF(ISNUMBER(
   IF(D_I="SI",(Datos!K17-Datos!U17)/Datos!U17,(Datos!K17+Datos!AE17-(Datos!U17+Datos!AM17))/(Datos!U17+Datos!AM17))
     ),IF(D_I="SI",(Datos!K17-Datos!U17)/Datos!U17,(Datos!K17+Datos!AE17-(Datos!U17+Datos!AM17))/(Datos!U17+Datos!AM17))," - ")</f>
        <v>-5.3160070880094506E-3</v>
      </c>
      <c r="G17" s="348">
        <f>IF(ISNUMBER(
   IF(D_I="SI",(Datos!L17-Datos!V17)/Datos!V17,(Datos!L17+Datos!AF17-(Datos!V17+Datos!AN17))/(Datos!V17+Datos!AN17))
     ),IF(D_I="SI",(Datos!L17-Datos!V17)/Datos!V17,(Datos!L17+Datos!AF17-(Datos!V17+Datos!AN17))/(Datos!V17+Datos!AN17))," - ")</f>
        <v>1.189127972819932E-2</v>
      </c>
      <c r="H17" s="229">
        <f>IF(ISNUMBER((Datos!M17-Datos!W17)/Datos!W17),(Datos!M17-Datos!W17)/Datos!W17," - ")</f>
        <v>-0.16666666666666666</v>
      </c>
      <c r="I17" s="349">
        <f>IF(ISNUMBER((Tasas!C17-Datos!BE17)/Datos!BE17),(Tasas!C17-Datos!BE17)/Datos!BE17," - ")</f>
        <v>1.729924975049961E-2</v>
      </c>
      <c r="J17" s="348">
        <f>IF(ISNUMBER((Tasas!D17-Datos!BF17)/Datos!BF17),(Tasas!D17-Datos!BF17)/Datos!BF17," - ")</f>
        <v>-0.16221298495645289</v>
      </c>
      <c r="K17" s="350">
        <f>IF(ISNUMBER((Tasas!E17-Datos!BG17)/Datos!BG17),(Tasas!E17-Datos!BG17)/Datos!BG17," - ")</f>
        <v>5.0534355868290777E-3</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0.14276717372347641</v>
      </c>
      <c r="E18" s="353">
        <f>IF(ISNUMBER(
   IF(D_I="SI",(Datos!J18-Datos!T18)/Datos!T18,(Datos!J18+Datos!AD18-(Datos!T18+Datos!AL18))/(Datos!T18+Datos!AL18))
     ),IF(D_I="SI",(Datos!J18-Datos!T18)/Datos!T18,(Datos!J18+Datos!AD18-(Datos!T18+Datos!AL18))/(Datos!T18+Datos!AL18))," - ")</f>
        <v>8.5880770954728819E-2</v>
      </c>
      <c r="F18" s="353">
        <f>IF(ISNUMBER(
   IF(D_I="SI",(Datos!K18-Datos!U18)/Datos!U18,(Datos!K18+Datos!AE18-(Datos!U18+Datos!AM18))/(Datos!U18+Datos!AM18))
     ),IF(D_I="SI",(Datos!K18-Datos!U18)/Datos!U18,(Datos!K18+Datos!AE18-(Datos!U18+Datos!AM18))/(Datos!U18+Datos!AM18))," - ")</f>
        <v>6.7830503094746863E-2</v>
      </c>
      <c r="G18" s="354">
        <f>IF(ISNUMBER(
   IF(D_I="SI",(Datos!L18-Datos!V18)/Datos!V18,(Datos!L18+Datos!AF18-(Datos!V18+Datos!AN18))/(Datos!V18+Datos!AN18))
     ),IF(D_I="SI",(Datos!L18-Datos!V18)/Datos!V18,(Datos!L18+Datos!AF18-(Datos!V18+Datos!AN18))/(Datos!V18+Datos!AN18))," - ")</f>
        <v>0.14520983832129342</v>
      </c>
      <c r="H18" s="355">
        <f>IF(ISNUMBER((Datos!M18-Datos!W18)/Datos!W18),(Datos!M18-Datos!W18)/Datos!W18," - ")</f>
        <v>0.25665067597034452</v>
      </c>
      <c r="I18" s="356">
        <f>IF(ISNUMBER((Tasas!C18-Datos!BE18)/Datos!BE18),(Tasas!C18-Datos!BE18)/Datos!BE18," - ")</f>
        <v>7.2464061480065012E-2</v>
      </c>
      <c r="J18" s="354">
        <f>IF(ISNUMBER((Tasas!D18-Datos!BF18)/Datos!BF18),(Tasas!D18-Datos!BF18)/Datos!BF18," - ")</f>
        <v>0.17682597783858567</v>
      </c>
      <c r="K18" s="357">
        <f>IF(ISNUMBER((Tasas!E18-Datos!BG18)/Datos!BG18),(Tasas!E18-Datos!BG18)/Datos!BG18," - ")</f>
        <v>3.7227461775740357E-2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8.1532108413266774E-2</v>
      </c>
      <c r="E19" s="362">
        <f>IF(ISNUMBER(
   IF(J_V="SI",(Datos!J19-Datos!T19)/Datos!T19,(Datos!J19+Datos!Z19-(Datos!T19+Datos!AH19))/(Datos!T19+Datos!AH19))
     ),IF(J_V="SI",(Datos!J19-Datos!T19)/Datos!T19,(Datos!J19+Datos!Z19-(Datos!T19+Datos!AH19))/(Datos!T19+Datos!AH19))," - ")</f>
        <v>-1.7746020260492039E-2</v>
      </c>
      <c r="F19" s="362">
        <f>IF(ISNUMBER(
   IF(J_V="SI",(Datos!K19-Datos!U19)/Datos!U19,(Datos!K19+Datos!AA19-(Datos!U19+Datos!AI19))/(Datos!U19+Datos!AI19))
     ),IF(J_V="SI",(Datos!K19-Datos!U19)/Datos!U19,(Datos!K19+Datos!AA19-(Datos!U19+Datos!AI19))/(Datos!U19+Datos!AI19))," - ")</f>
        <v>7.3549113643865405E-2</v>
      </c>
      <c r="G19" s="363">
        <f>IF(ISNUMBER(
   IF(J_V="SI",(Datos!L19-Datos!V19)/Datos!V19,(Datos!L19+Datos!AB19-(Datos!V19+Datos!AJ19))/(Datos!V19+Datos!AJ19))
     ),IF(J_V="SI",(Datos!L19-Datos!V19)/Datos!V19,(Datos!L19+Datos!AB19-(Datos!V19+Datos!AJ19))/(Datos!V19+Datos!AJ19))," - ")</f>
        <v>1.6552610124268102E-2</v>
      </c>
      <c r="H19" s="364">
        <f>IF(ISNUMBER((Datos!M19-Datos!W19)/Datos!W19),(Datos!M19-Datos!W19)/Datos!W19," - ")</f>
        <v>0.11305102729815762</v>
      </c>
      <c r="I19" s="361">
        <f>IF(ISNUMBER((Tasas!C19-Datos!BE19)/Datos!BE19),(Tasas!C19-Datos!BE19)/Datos!BE19," - ")</f>
        <v>-5.3091659054273217E-2</v>
      </c>
      <c r="J19" s="362">
        <f>IF(ISNUMBER((Tasas!D19-Datos!BF19)/Datos!BF19),(Tasas!D19-Datos!BF19)/Datos!BF19," - ")</f>
        <v>-0.18206679295152967</v>
      </c>
      <c r="K19" s="363">
        <f>IF(ISNUMBER((Tasas!E19-Datos!BG19)/Datos!BG19),(Tasas!E19-Datos!BG19)/Datos!BG19," - ")</f>
        <v>-3.1350163791441989E-2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0.10588499810900004</v>
      </c>
      <c r="E21" s="277">
        <f t="shared" si="1"/>
        <v>4.5060815364459827E-2</v>
      </c>
      <c r="F21" s="277">
        <f t="shared" si="1"/>
        <v>3.7992501793890542E-2</v>
      </c>
      <c r="G21" s="278">
        <f t="shared" si="1"/>
        <v>0.10980089443389561</v>
      </c>
      <c r="H21" s="284">
        <f t="shared" si="1"/>
        <v>0.17774841076431405</v>
      </c>
      <c r="I21" s="276">
        <f t="shared" si="1"/>
        <v>9.0197148652641682E-2</v>
      </c>
      <c r="J21" s="277">
        <f t="shared" si="1"/>
        <v>0.27515898845027797</v>
      </c>
      <c r="K21" s="278">
        <f t="shared" si="1"/>
        <v>6.0764183988804503E-2</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09 dic. 2025</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IyBRvlKkay232tgE1cifrT6chpfyZ1J4L8oqRgJOJtyA1IVK3sFlNT+Q5HIkeMFmpD+6y3zX11YfRMwiCSypaw==" saltValue="AbxadEl7+0E+Vj8zyhxAf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2025-12-09T21:39:28Z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